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Desktop\临时\22.10\"/>
    </mc:Choice>
  </mc:AlternateContent>
  <bookViews>
    <workbookView windowWidth="24000" windowHeight="9675" firstSheet="8" activeTab="11"/>
  </bookViews>
  <sheets>
    <sheet name="一般公共预算收支总表 " sheetId="1" r:id="rId1"/>
    <sheet name="一般公共预算收入表" sheetId="2" r:id="rId2"/>
    <sheet name="一般公共预算支出表" sheetId="17" r:id="rId3"/>
    <sheet name="一般公共预算本级支出预算表-人员经费" sheetId="3" r:id="rId4"/>
    <sheet name="一般公共预算本级支出预算表-公用经费" sheetId="4" r:id="rId5"/>
    <sheet name="一般公共预算本级支出预算表-专项资金" sheetId="5" r:id="rId6"/>
    <sheet name="一般公共预算税收返还和转移支付预算分项目表" sheetId="6" r:id="rId7"/>
    <sheet name="政府性基金预算收支总表" sheetId="15" r:id="rId8"/>
    <sheet name="国有资本经营预算收支总表" sheetId="8" r:id="rId9"/>
    <sheet name="社保基金收支预算总表" sheetId="9" r:id="rId10"/>
    <sheet name="城乡居民基本养老收支预算表" sheetId="10" r:id="rId11"/>
    <sheet name="机关事业单位基本养老收支预算表" sheetId="11" r:id="rId12"/>
  </sheets>
  <externalReferences>
    <externalReference r:id="rId13"/>
    <externalReference r:id="rId14"/>
  </externalReferences>
  <definedNames>
    <definedName name="_1_">#N/A</definedName>
    <definedName name="_2db2_">'[1]综合成本分析01.01-0205'!$A$3:$K$57</definedName>
    <definedName name="_3db3_">'[1]FY02'!$A$1:$I$31</definedName>
    <definedName name="_xlnm.Print_Area" localSheetId="4">'一般公共预算本级支出预算表-公用经费'!$B$1:$M$164</definedName>
    <definedName name="_xlnm.Print_Area" localSheetId="8">国有资本经营预算收支总表!$A$1:$J$20</definedName>
    <definedName name="_xlnm.Print_Area" localSheetId="3">'一般公共预算本级支出预算表-人员经费'!$C$1:$U$167</definedName>
    <definedName name="_xlnm.Print_Area" localSheetId="6">一般公共预算税收返还和转移支付预算分项目表!$A$1:$D$23</definedName>
    <definedName name="_xlnm.Print_Area" localSheetId="1">#REF!</definedName>
    <definedName name="_xlnm.Print_Area" localSheetId="0">'一般公共预算收支总表 '!$A$1:$O$66</definedName>
    <definedName name="_xlnm.Print_Area" localSheetId="7">政府性基金预算收支总表!$A$1:$J$33</definedName>
    <definedName name="_xlnm.Print_Area" localSheetId="5">'一般公共预算本级支出预算表-专项资金'!$583:$606</definedName>
    <definedName name="_xlnm.Print_Area">#REF!</definedName>
    <definedName name="_xlnm.Print_Titles" localSheetId="4">'一般公共预算本级支出预算表-公用经费'!$1:$5</definedName>
    <definedName name="_xlnm.Print_Titles" localSheetId="3">'一般公共预算本级支出预算表-人员经费'!$1:$5</definedName>
    <definedName name="_xlnm.Print_Titles" localSheetId="0">'一般公共预算收支总表 '!$1:$5</definedName>
    <definedName name="_xlnm.Print_Titles" localSheetId="7">政府性基金预算收支总表!$1:$4</definedName>
    <definedName name="_xlnm.Print_Titles" localSheetId="5">'一般公共预算本级支出预算表-专项资金'!$1:$3</definedName>
    <definedName name="_xlnm.Print_Titles">#N/A</definedName>
    <definedName name="Z_57CB346A_133B_4F70_BC26_E9A6899386A4_.wvu.PrintArea" localSheetId="4" hidden="1">'一般公共预算本级支出预算表-公用经费'!$B$1:$M$164</definedName>
    <definedName name="Z_57CB346A_133B_4F70_BC26_E9A6899386A4_.wvu.PrintArea" localSheetId="3" hidden="1">'一般公共预算本级支出预算表-人员经费'!$C$1:$U$167</definedName>
    <definedName name="Z_57CB346A_133B_4F70_BC26_E9A6899386A4_.wvu.PrintArea" localSheetId="0" hidden="1">'一般公共预算收支总表 '!$A$1:$O$66</definedName>
    <definedName name="Z_57CB346A_133B_4F70_BC26_E9A6899386A4_.wvu.PrintArea" localSheetId="5" hidden="1">'一般公共预算本级支出预算表-专项资金'!$A$421:$F$431</definedName>
    <definedName name="Z_57CB346A_133B_4F70_BC26_E9A6899386A4_.wvu.PrintTitles" localSheetId="4" hidden="1">'一般公共预算本级支出预算表-公用经费'!$1:$5</definedName>
    <definedName name="Z_57CB346A_133B_4F70_BC26_E9A6899386A4_.wvu.PrintTitles" localSheetId="3" hidden="1">'一般公共预算本级支出预算表-人员经费'!$1:$5</definedName>
    <definedName name="Z_57CB346A_133B_4F70_BC26_E9A6899386A4_.wvu.PrintTitles" localSheetId="0" hidden="1">'一般公共预算收支总表 '!$1:$5</definedName>
    <definedName name="Z_57CB346A_133B_4F70_BC26_E9A6899386A4_.wvu.PrintTitles" localSheetId="7" hidden="1">政府性基金预算收支总表!$1:$4</definedName>
    <definedName name="Z_57CB346A_133B_4F70_BC26_E9A6899386A4_.wvu.PrintTitles" localSheetId="5" hidden="1">'一般公共预算本级支出预算表-专项资金'!$1:$3</definedName>
    <definedName name="Z_66124F3C_7872_48AF_9933_B04BB6AA9337_.wvu.PrintArea" localSheetId="0" hidden="1">'一般公共预算收支总表 '!$A$1:$O$66</definedName>
    <definedName name="Z_66124F3C_7872_48AF_9933_B04BB6AA9337_.wvu.PrintArea" localSheetId="5" hidden="1">'一般公共预算本级支出预算表-专项资金'!$A$1:$F$617</definedName>
    <definedName name="Z_66124F3C_7872_48AF_9933_B04BB6AA9337_.wvu.PrintTitles" localSheetId="8" hidden="1">国有资本经营预算收支总表!$1:$4</definedName>
    <definedName name="Z_66124F3C_7872_48AF_9933_B04BB6AA9337_.wvu.PrintTitles" localSheetId="0" hidden="1">'一般公共预算收支总表 '!$1:$5</definedName>
    <definedName name="Z_66124F3C_7872_48AF_9933_B04BB6AA9337_.wvu.PrintTitles" localSheetId="7" hidden="1">政府性基金预算收支总表!$1:$4</definedName>
    <definedName name="Z_66124F3C_7872_48AF_9933_B04BB6AA9337_.wvu.PrintTitles" localSheetId="5" hidden="1">'一般公共预算本级支出预算表-专项资金'!$1:$3</definedName>
    <definedName name="Z_7A601787_450F_4CC8_99AB_DB235FAE0A7E_.wvu.PrintArea" localSheetId="4" hidden="1">'一般公共预算本级支出预算表-公用经费'!$B$1:$M$164</definedName>
    <definedName name="Z_7A601787_450F_4CC8_99AB_DB235FAE0A7E_.wvu.PrintArea" localSheetId="3" hidden="1">'一般公共预算本级支出预算表-人员经费'!$C$1:$U$167</definedName>
    <definedName name="Z_7A601787_450F_4CC8_99AB_DB235FAE0A7E_.wvu.PrintArea" localSheetId="0" hidden="1">'一般公共预算收支总表 '!$A$1:$O$66</definedName>
    <definedName name="Z_7A601787_450F_4CC8_99AB_DB235FAE0A7E_.wvu.PrintArea" localSheetId="5" hidden="1">'一般公共预算本级支出预算表-专项资金'!$A$1:$F$617</definedName>
    <definedName name="Z_7A601787_450F_4CC8_99AB_DB235FAE0A7E_.wvu.PrintTitles" localSheetId="4" hidden="1">'一般公共预算本级支出预算表-公用经费'!$1:$5</definedName>
    <definedName name="Z_7A601787_450F_4CC8_99AB_DB235FAE0A7E_.wvu.PrintTitles" localSheetId="3" hidden="1">'一般公共预算本级支出预算表-人员经费'!$1:$5</definedName>
    <definedName name="Z_7A601787_450F_4CC8_99AB_DB235FAE0A7E_.wvu.PrintTitles" localSheetId="0" hidden="1">'一般公共预算收支总表 '!$1:$5</definedName>
    <definedName name="Z_7A601787_450F_4CC8_99AB_DB235FAE0A7E_.wvu.PrintTitles" localSheetId="7" hidden="1">政府性基金预算收支总表!$1:$4</definedName>
    <definedName name="Z_7A601787_450F_4CC8_99AB_DB235FAE0A7E_.wvu.PrintTitles" localSheetId="5" hidden="1">'一般公共预算本级支出预算表-专项资金'!$1:$3</definedName>
    <definedName name="Z_E4BD3346_0CD9_4401_87D2_FCABCE14B75A_.wvu.PrintArea" localSheetId="4" hidden="1">'一般公共预算本级支出预算表-公用经费'!$B$1:$M$164</definedName>
    <definedName name="Z_E4BD3346_0CD9_4401_87D2_FCABCE14B75A_.wvu.PrintArea" localSheetId="3" hidden="1">'一般公共预算本级支出预算表-人员经费'!$C$1:$U$167</definedName>
    <definedName name="Z_E4BD3346_0CD9_4401_87D2_FCABCE14B75A_.wvu.PrintArea" localSheetId="0" hidden="1">'一般公共预算收支总表 '!$A$1:$O$66</definedName>
    <definedName name="Z_E4BD3346_0CD9_4401_87D2_FCABCE14B75A_.wvu.PrintArea" localSheetId="5" hidden="1">'一般公共预算本级支出预算表-专项资金'!$A$421:$F$431</definedName>
    <definedName name="Z_E4BD3346_0CD9_4401_87D2_FCABCE14B75A_.wvu.PrintTitles" localSheetId="4" hidden="1">'一般公共预算本级支出预算表-公用经费'!$1:$5</definedName>
    <definedName name="Z_E4BD3346_0CD9_4401_87D2_FCABCE14B75A_.wvu.PrintTitles" localSheetId="3" hidden="1">'一般公共预算本级支出预算表-人员经费'!$1:$5</definedName>
    <definedName name="Z_E4BD3346_0CD9_4401_87D2_FCABCE14B75A_.wvu.PrintTitles" localSheetId="0" hidden="1">'一般公共预算收支总表 '!$1:$5</definedName>
    <definedName name="Z_E4BD3346_0CD9_4401_87D2_FCABCE14B75A_.wvu.PrintTitles" localSheetId="7" hidden="1">政府性基金预算收支总表!$1:$4</definedName>
    <definedName name="Z_E4BD3346_0CD9_4401_87D2_FCABCE14B75A_.wvu.PrintTitles" localSheetId="5" hidden="1">'一般公共预算本级支出预算表-专项资金'!$1:$3</definedName>
    <definedName name="地区名称">[2]封面!$B$2:$B$3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E67" authorId="0">
      <text>
        <r>
          <rPr>
            <b/>
            <sz val="9"/>
            <rFont val="宋体"/>
            <charset val="134"/>
          </rPr>
          <t>Administrator:</t>
        </r>
        <r>
          <rPr>
            <sz val="9"/>
            <rFont val="宋体"/>
            <charset val="134"/>
          </rPr>
          <t xml:space="preserve">
</t>
        </r>
      </text>
    </comment>
  </commentList>
</comments>
</file>

<file path=xl/sharedStrings.xml><?xml version="1.0" encoding="utf-8"?>
<sst xmlns="http://schemas.openxmlformats.org/spreadsheetml/2006/main" count="1948" uniqueCount="1474">
  <si>
    <t>2023年东安县财政一般预算收支总表</t>
  </si>
  <si>
    <t>单位：万元</t>
  </si>
  <si>
    <t>收                  入</t>
  </si>
  <si>
    <t>支                  出</t>
  </si>
  <si>
    <t>项          目</t>
  </si>
  <si>
    <t>2023年预算数</t>
  </si>
  <si>
    <t>2022年预算数</t>
  </si>
  <si>
    <t>比上年预算</t>
  </si>
  <si>
    <t>功能分类</t>
  </si>
  <si>
    <t>经济分类</t>
  </si>
  <si>
    <t>增减额</t>
  </si>
  <si>
    <t>增减％</t>
  </si>
  <si>
    <t>一、税收收入</t>
  </si>
  <si>
    <t>一、一般公共服务支出</t>
  </si>
  <si>
    <t>一、机关工资福利支出</t>
  </si>
  <si>
    <t>二、非税收入</t>
  </si>
  <si>
    <t>二、国防支出</t>
  </si>
  <si>
    <t>二、机关商品和服务支出</t>
  </si>
  <si>
    <t>三、贷款转贷回收本金收入</t>
  </si>
  <si>
    <t>三、公共安全支出</t>
  </si>
  <si>
    <t>三、机关资本性支出</t>
  </si>
  <si>
    <t>四、教育支出</t>
  </si>
  <si>
    <t>四、对个人和家庭的补助</t>
  </si>
  <si>
    <t xml:space="preserve"> </t>
  </si>
  <si>
    <t>五、科学技术支出</t>
  </si>
  <si>
    <t>五、对企事业单位的补助</t>
  </si>
  <si>
    <t>六、文化旅游体育与传媒支出</t>
  </si>
  <si>
    <t>六、对社会保障基金补助</t>
  </si>
  <si>
    <t>七、社会保障和就业支出</t>
  </si>
  <si>
    <t>七、债务利息支出</t>
  </si>
  <si>
    <t>八、卫生健康支出</t>
  </si>
  <si>
    <t>八、债务还本支出</t>
  </si>
  <si>
    <t>九、节能环保支出</t>
  </si>
  <si>
    <t>九、转移性支出</t>
  </si>
  <si>
    <t>十、城乡社区支出</t>
  </si>
  <si>
    <t>十、预备费及预留</t>
  </si>
  <si>
    <t>十一、农林水支出</t>
  </si>
  <si>
    <t>十一、其他支出</t>
  </si>
  <si>
    <t>十二、交通运输支出</t>
  </si>
  <si>
    <t>十三、资源勘探信息等支出</t>
  </si>
  <si>
    <t>十四、商业服务业等支出</t>
  </si>
  <si>
    <t>十五、自然资源海洋气象等支出</t>
  </si>
  <si>
    <t>十六、住房保障支出</t>
  </si>
  <si>
    <t>十七、粮油物资储备支出</t>
  </si>
  <si>
    <t>十八、金融监管等事务支出</t>
  </si>
  <si>
    <t>十九、灾害防治及应急管理支出</t>
  </si>
  <si>
    <t>二十、预备费</t>
  </si>
  <si>
    <t>二十一、债务还本付息支出</t>
  </si>
  <si>
    <t>二十二、其他支出</t>
  </si>
  <si>
    <t>一般预算收入小计</t>
  </si>
  <si>
    <t>一般预算支出小计</t>
  </si>
  <si>
    <t>四、上级补助收入</t>
  </si>
  <si>
    <t>转移性支出</t>
  </si>
  <si>
    <t>（一）返还性收入</t>
  </si>
  <si>
    <t>原体制上解支出</t>
  </si>
  <si>
    <t>不同级政府间转移性支出</t>
  </si>
  <si>
    <t>1、增值税和消费税税收返还收入</t>
  </si>
  <si>
    <t>结算补助支出</t>
  </si>
  <si>
    <t>2、所得税基数返还收入</t>
  </si>
  <si>
    <t>出口退税专项上解支出</t>
  </si>
  <si>
    <t>3、成品油价格和税费改革返还收入</t>
  </si>
  <si>
    <t>专项上解支出</t>
  </si>
  <si>
    <t>留抵退税上解支出3886万元环保局企业养老保险上解1000万元</t>
  </si>
  <si>
    <t>4、其他税收返还</t>
  </si>
  <si>
    <t>调出资金</t>
  </si>
  <si>
    <t>（二）一般性转移支付收入</t>
  </si>
  <si>
    <t xml:space="preserve">   补充预算稳定调节基金</t>
  </si>
  <si>
    <t>1、体制补助收入</t>
  </si>
  <si>
    <t>债务还本支出</t>
  </si>
  <si>
    <t>2、均衡性转移支付收入</t>
  </si>
  <si>
    <t>年终结余</t>
  </si>
  <si>
    <t>2022年比2021年增加7654万元，预计每年增量2000万元</t>
  </si>
  <si>
    <t>3、县级基本财力保障机制奖补收入</t>
  </si>
  <si>
    <t xml:space="preserve">   其中:结转</t>
  </si>
  <si>
    <t>4、结算补助收入</t>
  </si>
  <si>
    <t xml:space="preserve">        结余</t>
  </si>
  <si>
    <t>5、固定数额补助收入</t>
  </si>
  <si>
    <t>6、基层公检法司转移支付收入</t>
  </si>
  <si>
    <t>7、革命老区转移支付收入</t>
  </si>
  <si>
    <t>8、企业事业单位划转补助收入</t>
  </si>
  <si>
    <t>9、义务教育等转移支付收入</t>
  </si>
  <si>
    <t>10、社会保障和就业事权转移支付收入</t>
  </si>
  <si>
    <t>11、 卫生健康财政事权转移支付收入</t>
  </si>
  <si>
    <t>12、农林水共同财政事权转移支付收入</t>
  </si>
  <si>
    <t>13、产粮（油）大县奖励资金收入</t>
  </si>
  <si>
    <t>14、重点生态功能区转移支付收入</t>
  </si>
  <si>
    <t>15、交通运输共同财政事权转移支付收入</t>
  </si>
  <si>
    <t>16、贫困地区转移支付收入</t>
  </si>
  <si>
    <t>17、留抵退税及减税降费专项补助收入</t>
  </si>
  <si>
    <t>18、节能环保共同事权转移支付收入</t>
  </si>
  <si>
    <t>19、文化旅游体育与传媒转移支付收入</t>
  </si>
  <si>
    <t>20、粮油物资储备共同财政事权收入</t>
  </si>
  <si>
    <t>21、住房保障共同财政事权收入</t>
  </si>
  <si>
    <t>22、灾害防治及应急管理共同财政事权收入</t>
  </si>
  <si>
    <t>23、其他一般性转移支付收入</t>
  </si>
  <si>
    <t>（三）专项转移支付收入</t>
  </si>
  <si>
    <t>五、调入资金</t>
  </si>
  <si>
    <t xml:space="preserve">    政府性基金调入</t>
  </si>
  <si>
    <t xml:space="preserve">    预算稳定调节基金</t>
  </si>
  <si>
    <t xml:space="preserve"> 国有资本经营收入</t>
  </si>
  <si>
    <t>六、地方政府债券收入</t>
  </si>
  <si>
    <t>七、上年结转结余收入</t>
  </si>
  <si>
    <t>收入合计</t>
  </si>
  <si>
    <t>支出合计</t>
  </si>
  <si>
    <t>2023年东安县财政一般预算收入表</t>
  </si>
  <si>
    <t>收                          入</t>
  </si>
  <si>
    <t>2022年年初预算数</t>
  </si>
  <si>
    <t>2023年年初预算数</t>
  </si>
  <si>
    <t>2022年实际完成数</t>
  </si>
  <si>
    <t>增减率%</t>
  </si>
  <si>
    <t>　　增值税</t>
  </si>
  <si>
    <t>　　企业所得税</t>
  </si>
  <si>
    <t>　　个人所得税</t>
  </si>
  <si>
    <t xml:space="preserve">    环境保护税</t>
  </si>
  <si>
    <t>　　资源税</t>
  </si>
  <si>
    <t>　　城市维护建设税</t>
  </si>
  <si>
    <t>　　房产税</t>
  </si>
  <si>
    <t>　　印花税</t>
  </si>
  <si>
    <t>　　城镇土地使用税</t>
  </si>
  <si>
    <t>　　土地增值税</t>
  </si>
  <si>
    <t>　　车船使用和牌照税</t>
  </si>
  <si>
    <t>　　耕地占用税</t>
  </si>
  <si>
    <t>　　契税</t>
  </si>
  <si>
    <t>　　烟叶税</t>
  </si>
  <si>
    <t xml:space="preserve">   其他税收收入</t>
  </si>
  <si>
    <t>专项收入</t>
  </si>
  <si>
    <t xml:space="preserve"> (1)城市教育费附加收入</t>
  </si>
  <si>
    <t xml:space="preserve"> (2)地方教育费附加收入</t>
  </si>
  <si>
    <t>（3）教育资金收入</t>
  </si>
  <si>
    <t xml:space="preserve"> (4）育林基金收入</t>
  </si>
  <si>
    <t>（5）植被恢复费收入</t>
  </si>
  <si>
    <t>（6）残疾人就业保障金</t>
  </si>
  <si>
    <t>（7）农田水利建设资金收入</t>
  </si>
  <si>
    <t>（8）地方水利建设资金收入</t>
  </si>
  <si>
    <t>（9）其他专项收入</t>
  </si>
  <si>
    <t>行政事业性收费收入</t>
  </si>
  <si>
    <t>罚没收入</t>
  </si>
  <si>
    <t>捐赠收入</t>
  </si>
  <si>
    <t>国有资源(资产)有偿使用收入</t>
  </si>
  <si>
    <t>政府住房租金收入</t>
  </si>
  <si>
    <t>其他收入</t>
  </si>
  <si>
    <t>地方预算收入小计</t>
  </si>
  <si>
    <t>2023年东安县财政一般公共预算支出表</t>
  </si>
  <si>
    <t>2023年东安县一般公共预算本级支出预算表-人员经费预算安排情况表</t>
  </si>
  <si>
    <r>
      <rPr>
        <sz val="12"/>
        <rFont val="楷体"/>
        <charset val="134"/>
      </rPr>
      <t>单位：万元</t>
    </r>
  </si>
  <si>
    <t>预算科目和单位</t>
  </si>
  <si>
    <r>
      <rPr>
        <sz val="11"/>
        <rFont val="黑体"/>
        <charset val="134"/>
      </rPr>
      <t>单位人数</t>
    </r>
  </si>
  <si>
    <r>
      <rPr>
        <sz val="11"/>
        <rFont val="黑体"/>
        <charset val="134"/>
      </rPr>
      <t>工资福利支出</t>
    </r>
  </si>
  <si>
    <t>对个人和家庭补助支出</t>
  </si>
  <si>
    <r>
      <rPr>
        <sz val="11"/>
        <color rgb="FF000000"/>
        <rFont val="Times New Roman"/>
        <charset val="134"/>
      </rPr>
      <t>2023</t>
    </r>
    <r>
      <rPr>
        <sz val="11"/>
        <color rgb="FF000000"/>
        <rFont val="黑体"/>
        <charset val="134"/>
      </rPr>
      <t>年</t>
    </r>
    <r>
      <rPr>
        <sz val="11"/>
        <color rgb="FF000000"/>
        <rFont val="Times New Roman"/>
        <charset val="134"/>
      </rPr>
      <t xml:space="preserve">
</t>
    </r>
    <r>
      <rPr>
        <sz val="11"/>
        <color rgb="FF000000"/>
        <rFont val="黑体"/>
        <charset val="134"/>
      </rPr>
      <t>经费合计</t>
    </r>
  </si>
  <si>
    <r>
      <rPr>
        <sz val="11"/>
        <rFont val="黑体"/>
        <charset val="134"/>
      </rPr>
      <t>合</t>
    </r>
    <r>
      <rPr>
        <sz val="11"/>
        <rFont val="Times New Roman"/>
        <charset val="134"/>
      </rPr>
      <t xml:space="preserve"> </t>
    </r>
    <r>
      <rPr>
        <sz val="11"/>
        <rFont val="黑体"/>
        <charset val="134"/>
      </rPr>
      <t>计</t>
    </r>
  </si>
  <si>
    <t>基本工资</t>
  </si>
  <si>
    <r>
      <rPr>
        <sz val="10"/>
        <rFont val="黑体"/>
        <charset val="134"/>
      </rPr>
      <t>津贴补贴（事业单位绩效工资</t>
    </r>
    <r>
      <rPr>
        <sz val="10"/>
        <rFont val="Times New Roman"/>
        <charset val="134"/>
      </rPr>
      <t>70%</t>
    </r>
    <r>
      <rPr>
        <sz val="10"/>
        <rFont val="黑体"/>
        <charset val="134"/>
      </rPr>
      <t>部分）</t>
    </r>
  </si>
  <si>
    <r>
      <rPr>
        <sz val="11"/>
        <rFont val="黑体"/>
        <charset val="134"/>
      </rPr>
      <t>事业单位绩效工资（</t>
    </r>
    <r>
      <rPr>
        <sz val="11"/>
        <rFont val="Times New Roman"/>
        <charset val="134"/>
      </rPr>
      <t>30</t>
    </r>
    <r>
      <rPr>
        <sz val="11"/>
        <rFont val="黑体"/>
        <charset val="134"/>
      </rPr>
      <t>％部分）</t>
    </r>
  </si>
  <si>
    <r>
      <rPr>
        <sz val="11"/>
        <rFont val="Times New Roman"/>
        <charset val="134"/>
      </rPr>
      <t>13</t>
    </r>
    <r>
      <rPr>
        <sz val="11"/>
        <rFont val="宋体"/>
        <charset val="134"/>
      </rPr>
      <t>个月奖励性工资</t>
    </r>
  </si>
  <si>
    <t>乡镇工作补贴</t>
  </si>
  <si>
    <t>年终绩效考核奖</t>
  </si>
  <si>
    <t>其他工资补贴</t>
  </si>
  <si>
    <r>
      <rPr>
        <sz val="11"/>
        <rFont val="黑体"/>
        <charset val="134"/>
      </rPr>
      <t>合计</t>
    </r>
  </si>
  <si>
    <r>
      <rPr>
        <sz val="11"/>
        <rFont val="黑体"/>
        <charset val="134"/>
      </rPr>
      <t>基本养老保险（</t>
    </r>
    <r>
      <rPr>
        <sz val="11"/>
        <rFont val="Times New Roman"/>
        <charset val="134"/>
      </rPr>
      <t>16</t>
    </r>
    <r>
      <rPr>
        <sz val="11"/>
        <rFont val="黑体"/>
        <charset val="134"/>
      </rPr>
      <t>％）</t>
    </r>
  </si>
  <si>
    <r>
      <rPr>
        <sz val="11"/>
        <rFont val="黑体"/>
        <charset val="134"/>
      </rPr>
      <t>职业年金（</t>
    </r>
    <r>
      <rPr>
        <sz val="11"/>
        <rFont val="Times New Roman"/>
        <charset val="134"/>
      </rPr>
      <t>8</t>
    </r>
    <r>
      <rPr>
        <sz val="11"/>
        <rFont val="黑体"/>
        <charset val="134"/>
      </rPr>
      <t>％）</t>
    </r>
  </si>
  <si>
    <r>
      <rPr>
        <sz val="11"/>
        <rFont val="黑体"/>
        <charset val="134"/>
      </rPr>
      <t>住房公积金（</t>
    </r>
    <r>
      <rPr>
        <sz val="11"/>
        <rFont val="Times New Roman"/>
        <charset val="134"/>
      </rPr>
      <t>12</t>
    </r>
    <r>
      <rPr>
        <sz val="11"/>
        <rFont val="黑体"/>
        <charset val="134"/>
      </rPr>
      <t>％）</t>
    </r>
  </si>
  <si>
    <r>
      <rPr>
        <sz val="11"/>
        <rFont val="黑体"/>
        <charset val="134"/>
      </rPr>
      <t>医疗保险（</t>
    </r>
    <r>
      <rPr>
        <sz val="11"/>
        <rFont val="Times New Roman"/>
        <charset val="134"/>
      </rPr>
      <t>8.7</t>
    </r>
    <r>
      <rPr>
        <sz val="11"/>
        <rFont val="黑体"/>
        <charset val="134"/>
      </rPr>
      <t>％）</t>
    </r>
  </si>
  <si>
    <r>
      <rPr>
        <sz val="11"/>
        <rFont val="黑体"/>
        <charset val="134"/>
      </rPr>
      <t>遗属抚养</t>
    </r>
  </si>
  <si>
    <r>
      <rPr>
        <sz val="11"/>
        <rFont val="黑体"/>
        <charset val="134"/>
      </rPr>
      <t>在职</t>
    </r>
  </si>
  <si>
    <r>
      <rPr>
        <sz val="11"/>
        <rFont val="黑体"/>
        <charset val="134"/>
      </rPr>
      <t>离退休</t>
    </r>
  </si>
  <si>
    <r>
      <rPr>
        <sz val="11"/>
        <rFont val="黑体"/>
        <charset val="134"/>
      </rPr>
      <t>人数</t>
    </r>
  </si>
  <si>
    <r>
      <rPr>
        <sz val="11"/>
        <rFont val="黑体"/>
        <charset val="134"/>
      </rPr>
      <t>金额</t>
    </r>
  </si>
  <si>
    <t>总      计</t>
  </si>
  <si>
    <t>单位性质</t>
  </si>
  <si>
    <t>行政</t>
  </si>
  <si>
    <t>1、人大事务（人大办）</t>
  </si>
  <si>
    <t>2、政协事务（政协办）</t>
  </si>
  <si>
    <r>
      <rPr>
        <sz val="11"/>
        <color rgb="FF000000"/>
        <rFont val="Times New Roman"/>
        <charset val="134"/>
      </rPr>
      <t>3</t>
    </r>
    <r>
      <rPr>
        <sz val="11"/>
        <color rgb="FF000000"/>
        <rFont val="宋体"/>
        <charset val="134"/>
      </rPr>
      <t>、政府办公厅</t>
    </r>
    <r>
      <rPr>
        <sz val="11"/>
        <color rgb="FF000000"/>
        <rFont val="Times New Roman"/>
        <charset val="134"/>
      </rPr>
      <t>(</t>
    </r>
    <r>
      <rPr>
        <sz val="11"/>
        <color rgb="FF000000"/>
        <rFont val="宋体"/>
        <charset val="134"/>
      </rPr>
      <t>室</t>
    </r>
    <r>
      <rPr>
        <sz val="11"/>
        <color rgb="FF000000"/>
        <rFont val="Times New Roman"/>
        <charset val="134"/>
      </rPr>
      <t>)</t>
    </r>
    <r>
      <rPr>
        <sz val="11"/>
        <color rgb="FF000000"/>
        <rFont val="宋体"/>
        <charset val="134"/>
      </rPr>
      <t>及相关机构事务</t>
    </r>
  </si>
  <si>
    <t>政府办</t>
  </si>
  <si>
    <t>事业</t>
  </si>
  <si>
    <t>高校驻村办</t>
  </si>
  <si>
    <t>参公</t>
  </si>
  <si>
    <t>行政审批服务局</t>
  </si>
  <si>
    <t>经济开发区</t>
  </si>
  <si>
    <t>编制数</t>
  </si>
  <si>
    <t>白牙市镇（含精简退职11人）</t>
  </si>
  <si>
    <t>精简退职每人每年600元</t>
  </si>
  <si>
    <t>大庙口镇（含文化员差额2人、精简退职4人）</t>
  </si>
  <si>
    <t>文化员差额补助0.5万元/年.人</t>
  </si>
  <si>
    <t>紫溪市镇（含文化员差额2人、精简退职8人）</t>
  </si>
  <si>
    <t>水岭乡（含精简退职2人）</t>
  </si>
  <si>
    <t>横塘镇（含精简退职2人）</t>
  </si>
  <si>
    <t>石期市镇（含精简退职6人）</t>
  </si>
  <si>
    <t>井头圩镇（含精简退职7人）</t>
  </si>
  <si>
    <t>川岩乡（含精简退职2人）</t>
  </si>
  <si>
    <t>端桥铺镇（含精简退职5人）</t>
  </si>
  <si>
    <t>鹿马桥镇（含精简退职3人）</t>
  </si>
  <si>
    <t>芦洪市镇（含精简退职11人）</t>
  </si>
  <si>
    <t>新圩江镇（含精简退职10人）</t>
  </si>
  <si>
    <t>花桥镇（含精简退职3人）</t>
  </si>
  <si>
    <t>大盛镇（含精简退职5人）</t>
  </si>
  <si>
    <t>南桥镇（含文化员差额1人、精简退职4人）</t>
  </si>
  <si>
    <t>4、发展与改革事务</t>
  </si>
  <si>
    <t>发展和改革局</t>
  </si>
  <si>
    <t>5、统计信息事务（统计局）</t>
  </si>
  <si>
    <t>6、财政事务</t>
  </si>
  <si>
    <t>财政局</t>
  </si>
  <si>
    <t>7、审计事务（审计局）</t>
  </si>
  <si>
    <t>8、人事事务</t>
  </si>
  <si>
    <t>机构编制委员会</t>
  </si>
  <si>
    <t>9、纪检监察及相关事务（纪委）</t>
  </si>
  <si>
    <t>10、商贸事务（商务局）</t>
  </si>
  <si>
    <t>11、市场监督管理事务</t>
  </si>
  <si>
    <t xml:space="preserve">   市场监督管理局</t>
  </si>
  <si>
    <t xml:space="preserve">   食品质量安全监督检测中心</t>
  </si>
  <si>
    <t>12、港澳台侨事务</t>
  </si>
  <si>
    <t xml:space="preserve"> 参公</t>
  </si>
  <si>
    <t xml:space="preserve">  侨联</t>
  </si>
  <si>
    <t>13、共产党事务</t>
  </si>
  <si>
    <t>县委办</t>
  </si>
  <si>
    <t>信访局</t>
  </si>
  <si>
    <t>组织部</t>
  </si>
  <si>
    <t>宣传部</t>
  </si>
  <si>
    <t>统战部</t>
  </si>
  <si>
    <t>政法委</t>
  </si>
  <si>
    <t>巡察办</t>
  </si>
  <si>
    <t>网信办</t>
  </si>
  <si>
    <t>党史办</t>
  </si>
  <si>
    <t>机关事务服务中心</t>
  </si>
  <si>
    <t>原宾馆服务管理站</t>
  </si>
  <si>
    <t>网格事务中心</t>
  </si>
  <si>
    <t>接待服务中心</t>
  </si>
  <si>
    <t>14、民主党派及工商联事务（工商联）</t>
  </si>
  <si>
    <t>15、群众团体事务</t>
  </si>
  <si>
    <t>县妇联</t>
  </si>
  <si>
    <t>总工会</t>
  </si>
  <si>
    <t>团县委</t>
  </si>
  <si>
    <t>二、公共安全支出</t>
  </si>
  <si>
    <t>1、公安</t>
  </si>
  <si>
    <t>公安</t>
  </si>
  <si>
    <t>县公安局</t>
  </si>
  <si>
    <t>交警大队</t>
  </si>
  <si>
    <t>2、检察院</t>
  </si>
  <si>
    <t>3、人民法院</t>
  </si>
  <si>
    <t>4、司法（司法局）</t>
  </si>
  <si>
    <t>5、县公证处</t>
  </si>
  <si>
    <t>三、教育支出</t>
  </si>
  <si>
    <t>1、教育管理事务（教育局机关）</t>
  </si>
  <si>
    <t>2、普通教育</t>
  </si>
  <si>
    <t>幼儿教育</t>
  </si>
  <si>
    <t>小学教育</t>
  </si>
  <si>
    <t>初中教育</t>
  </si>
  <si>
    <t>特殊教育学校</t>
  </si>
  <si>
    <t>天成实验学校</t>
  </si>
  <si>
    <t>机关幼儿园</t>
  </si>
  <si>
    <t xml:space="preserve">   3、高中教育</t>
  </si>
  <si>
    <t>4、职业教育（职业中专）</t>
  </si>
  <si>
    <t>5、教师进修及干部继续教育</t>
  </si>
  <si>
    <t>县委党校</t>
  </si>
  <si>
    <t>教师进修学校</t>
  </si>
  <si>
    <t>W16</t>
  </si>
  <si>
    <t>四、科学技术支出</t>
  </si>
  <si>
    <t xml:space="preserve">  科学技术管理事务（科工局）</t>
  </si>
  <si>
    <t xml:space="preserve">  科学技术普及（科协）</t>
  </si>
  <si>
    <t>五、文化旅游体育与传媒支出</t>
  </si>
  <si>
    <t>1、文化（文广新旅局）</t>
  </si>
  <si>
    <t xml:space="preserve">  2、旅游</t>
  </si>
  <si>
    <t>旅游发展服务中心</t>
  </si>
  <si>
    <t>舜皇岩景区服务中心（差额）</t>
  </si>
  <si>
    <t xml:space="preserve">参公 </t>
  </si>
  <si>
    <t>3、县文联</t>
  </si>
  <si>
    <t>4、全民健身服务中心</t>
  </si>
  <si>
    <t>5、文化执法大队</t>
  </si>
  <si>
    <t>6、电影服务管理站</t>
  </si>
  <si>
    <t>7、档案馆</t>
  </si>
  <si>
    <t>8、融媒体中心（广播电视台）</t>
  </si>
  <si>
    <t>W8</t>
  </si>
  <si>
    <t>六、社会保障和就业支出</t>
  </si>
  <si>
    <t>1、社会保障和就业管理事务</t>
  </si>
  <si>
    <t>人力资源和社会保障局</t>
  </si>
  <si>
    <t>w14</t>
  </si>
  <si>
    <t>就业服务管理中心</t>
  </si>
  <si>
    <t>工伤保险服务中心</t>
  </si>
  <si>
    <t>社会保险服务中心</t>
  </si>
  <si>
    <t xml:space="preserve">  退役军人事务局</t>
  </si>
  <si>
    <t>w12</t>
  </si>
  <si>
    <t>医疗保健局</t>
  </si>
  <si>
    <t>2、民政管理事务（民政局）</t>
  </si>
  <si>
    <t>3、残疾人事业（残联）</t>
  </si>
  <si>
    <t>七、卫生健康支出</t>
  </si>
  <si>
    <t xml:space="preserve">  医疗卫生管理事务（卫生健康局）</t>
  </si>
  <si>
    <t xml:space="preserve">  乡镇卫生院人员经费</t>
  </si>
  <si>
    <t>W10</t>
  </si>
  <si>
    <t xml:space="preserve">  疾病预防控制（疾控中心）</t>
  </si>
  <si>
    <t xml:space="preserve">  卫生监督（卫生计生监督局）</t>
  </si>
  <si>
    <t xml:space="preserve">事业 </t>
  </si>
  <si>
    <t xml:space="preserve">  妇幼保健（妇计中心）</t>
  </si>
  <si>
    <t xml:space="preserve">  计生协会</t>
  </si>
  <si>
    <t>八、节能环保支出</t>
  </si>
  <si>
    <t xml:space="preserve">  环境保护管理事务（环保局）</t>
  </si>
  <si>
    <t>环保局市在职人员51人；县在职人员3人，退休人员16人</t>
  </si>
  <si>
    <t>九、城乡社区支出</t>
  </si>
  <si>
    <t>1、城乡社区管理事务</t>
  </si>
  <si>
    <t>住房和城乡规划建设局</t>
  </si>
  <si>
    <t>住房保障服务中心</t>
  </si>
  <si>
    <t>城管局</t>
  </si>
  <si>
    <t>路灯管理所</t>
  </si>
  <si>
    <t>质监站</t>
  </si>
  <si>
    <t>城建投办</t>
  </si>
  <si>
    <t>城监大队</t>
  </si>
  <si>
    <t>2、城乡社区环境卫生（环卫绿化服务中心）</t>
  </si>
  <si>
    <t>十、农林水支出</t>
  </si>
  <si>
    <t>1、农业</t>
  </si>
  <si>
    <t>农业农村局</t>
  </si>
  <si>
    <t>种子技术推广站</t>
  </si>
  <si>
    <t>经管站</t>
  </si>
  <si>
    <t>畜牧水产事务中心</t>
  </si>
  <si>
    <t>动物卫生监督所</t>
  </si>
  <si>
    <t>农机事务中心</t>
  </si>
  <si>
    <t>W1</t>
  </si>
  <si>
    <t>乡村振兴局</t>
  </si>
  <si>
    <t>烤烟事务中心</t>
  </si>
  <si>
    <t>3月3日报送2月工资表</t>
  </si>
  <si>
    <t>2、林业</t>
  </si>
  <si>
    <t>林业局</t>
  </si>
  <si>
    <t>紫水国家湿地公园管理局</t>
  </si>
  <si>
    <t>舜皇山国家森林公园管理局</t>
  </si>
  <si>
    <t>黄泥洞林场</t>
  </si>
  <si>
    <t>w2</t>
  </si>
  <si>
    <t>3、水利</t>
  </si>
  <si>
    <t>水利局</t>
  </si>
  <si>
    <t>水利和库区移民事务中心</t>
  </si>
  <si>
    <t>10个中型水管事业单位人员经费</t>
  </si>
  <si>
    <t>高岩18个公益性岗位补贴（差额）</t>
  </si>
  <si>
    <t>高岩18个公益性岗位人员补贴10万元每年</t>
  </si>
  <si>
    <t>十一、交通运输支出</t>
  </si>
  <si>
    <t xml:space="preserve">  交通运输局机关</t>
  </si>
  <si>
    <t xml:space="preserve">  交通综合执法大队</t>
  </si>
  <si>
    <t xml:space="preserve">  客运办</t>
  </si>
  <si>
    <t xml:space="preserve">  公路建设养护中心</t>
  </si>
  <si>
    <t xml:space="preserve">  道路运输服务中心</t>
  </si>
  <si>
    <t>十二、灾害防治及应急管理支出</t>
  </si>
  <si>
    <t xml:space="preserve">  安全生产（应急管理局）</t>
  </si>
  <si>
    <t>十三、商业服务业等支出</t>
  </si>
  <si>
    <t xml:space="preserve">    商业企业改制服务办</t>
  </si>
  <si>
    <t xml:space="preserve">    供销社</t>
  </si>
  <si>
    <t>十四、自然资源海洋气象等支出</t>
  </si>
  <si>
    <r>
      <rPr>
        <sz val="11"/>
        <color rgb="FF000000"/>
        <rFont val="Times New Roman"/>
        <charset val="134"/>
      </rPr>
      <t xml:space="preserve">      1</t>
    </r>
    <r>
      <rPr>
        <sz val="11"/>
        <color rgb="FF000000"/>
        <rFont val="宋体"/>
        <charset val="134"/>
      </rPr>
      <t>、</t>
    </r>
    <r>
      <rPr>
        <sz val="11"/>
        <color rgb="FF000000"/>
        <rFont val="Times New Roman"/>
        <charset val="134"/>
      </rPr>
      <t xml:space="preserve"> </t>
    </r>
    <r>
      <rPr>
        <sz val="11"/>
        <color rgb="FF000000"/>
        <rFont val="宋体"/>
        <charset val="134"/>
      </rPr>
      <t>自然资源事务</t>
    </r>
  </si>
  <si>
    <t xml:space="preserve">   自然资源局</t>
  </si>
  <si>
    <t xml:space="preserve"> 规划执法大队</t>
  </si>
  <si>
    <t xml:space="preserve"> 城乡规划服务中心</t>
  </si>
  <si>
    <t xml:space="preserve"> 2、防震减灾预警中心</t>
  </si>
  <si>
    <t>十五、粮油物资储备支出</t>
  </si>
  <si>
    <t xml:space="preserve">     工业企业改制服务办公室</t>
  </si>
  <si>
    <t>2023年东安县一般公共预算本级支出预算表-公用经费预算安排情况表</t>
  </si>
  <si>
    <t>商品和服务支出</t>
  </si>
  <si>
    <t>代扣工会会费（每人40元）</t>
  </si>
  <si>
    <t>合计</t>
  </si>
  <si>
    <r>
      <rPr>
        <sz val="11"/>
        <rFont val="黑体"/>
        <charset val="134"/>
      </rPr>
      <t>工会经费（每人</t>
    </r>
    <r>
      <rPr>
        <sz val="11"/>
        <rFont val="Times New Roman"/>
        <charset val="134"/>
      </rPr>
      <t>100</t>
    </r>
    <r>
      <rPr>
        <sz val="11"/>
        <rFont val="宋体"/>
        <charset val="134"/>
      </rPr>
      <t>元）</t>
    </r>
  </si>
  <si>
    <r>
      <rPr>
        <sz val="11"/>
        <rFont val="黑体"/>
        <charset val="134"/>
      </rPr>
      <t>福利费（每人</t>
    </r>
    <r>
      <rPr>
        <sz val="11"/>
        <rFont val="Times New Roman"/>
        <charset val="134"/>
      </rPr>
      <t>30</t>
    </r>
    <r>
      <rPr>
        <sz val="11"/>
        <rFont val="宋体"/>
        <charset val="134"/>
      </rPr>
      <t>元）</t>
    </r>
  </si>
  <si>
    <r>
      <rPr>
        <sz val="11"/>
        <rFont val="黑体"/>
        <charset val="134"/>
      </rPr>
      <t>公用经费</t>
    </r>
  </si>
  <si>
    <t>公车改革补贴</t>
  </si>
  <si>
    <r>
      <rPr>
        <sz val="11"/>
        <rFont val="黑体"/>
        <charset val="134"/>
      </rPr>
      <t>全额</t>
    </r>
  </si>
  <si>
    <r>
      <rPr>
        <sz val="11"/>
        <rFont val="宋体"/>
        <charset val="134"/>
      </rPr>
      <t>退休人员</t>
    </r>
  </si>
  <si>
    <r>
      <rPr>
        <sz val="11"/>
        <rFont val="黑体"/>
        <charset val="134"/>
      </rPr>
      <t>差额</t>
    </r>
  </si>
  <si>
    <r>
      <rPr>
        <sz val="11"/>
        <rFont val="黑体"/>
        <charset val="134"/>
      </rPr>
      <t>处级</t>
    </r>
    <r>
      <rPr>
        <sz val="11"/>
        <rFont val="Times New Roman"/>
        <charset val="134"/>
      </rPr>
      <t xml:space="preserve">
</t>
    </r>
    <r>
      <rPr>
        <sz val="11"/>
        <rFont val="黑体"/>
        <charset val="134"/>
      </rPr>
      <t>领导</t>
    </r>
  </si>
  <si>
    <r>
      <rPr>
        <sz val="11"/>
        <rFont val="黑体"/>
        <charset val="134"/>
      </rPr>
      <t>标准</t>
    </r>
  </si>
  <si>
    <r>
      <rPr>
        <sz val="11"/>
        <rFont val="Times New Roman"/>
        <charset val="134"/>
      </rPr>
      <t>3</t>
    </r>
    <r>
      <rPr>
        <sz val="11"/>
        <rFont val="宋体"/>
        <charset val="134"/>
      </rPr>
      <t>、政府办公厅</t>
    </r>
    <r>
      <rPr>
        <sz val="11"/>
        <rFont val="Times New Roman"/>
        <charset val="134"/>
      </rPr>
      <t>(</t>
    </r>
    <r>
      <rPr>
        <sz val="11"/>
        <rFont val="宋体"/>
        <charset val="134"/>
      </rPr>
      <t>室</t>
    </r>
    <r>
      <rPr>
        <sz val="11"/>
        <rFont val="Times New Roman"/>
        <charset val="134"/>
      </rPr>
      <t>)</t>
    </r>
    <r>
      <rPr>
        <sz val="11"/>
        <rFont val="宋体"/>
        <charset val="134"/>
      </rPr>
      <t>及相关机构事务</t>
    </r>
  </si>
  <si>
    <t>城管分局23人按人均2.5万元安排公用经费(编制30人）</t>
  </si>
  <si>
    <t>机构编制事务中心</t>
  </si>
  <si>
    <t xml:space="preserve">    市场监督管理局</t>
  </si>
  <si>
    <t>143个执法编制按2.5万元安排</t>
  </si>
  <si>
    <t xml:space="preserve">    食品质量安全监督检测中心</t>
  </si>
  <si>
    <t xml:space="preserve">    侨联</t>
  </si>
  <si>
    <t>网格事务管理中心</t>
  </si>
  <si>
    <t xml:space="preserve">  2、检察院</t>
  </si>
  <si>
    <t xml:space="preserve">  </t>
  </si>
  <si>
    <t xml:space="preserve">  3、法院</t>
  </si>
  <si>
    <r>
      <rPr>
        <sz val="12"/>
        <rFont val="宋体"/>
        <charset val="134"/>
      </rPr>
      <t>W</t>
    </r>
    <r>
      <rPr>
        <sz val="12"/>
        <rFont val="宋体"/>
        <charset val="134"/>
      </rPr>
      <t>16</t>
    </r>
  </si>
  <si>
    <t>1、科学技术管理事务（科工局）</t>
  </si>
  <si>
    <t>2、科学技术普及（科协）</t>
  </si>
  <si>
    <t>2、旅游发展服务中心</t>
  </si>
  <si>
    <t>7、融媒体中心（广播电视台）</t>
  </si>
  <si>
    <t>8、档案馆</t>
  </si>
  <si>
    <t>9、舜皇岩公园管理处</t>
  </si>
  <si>
    <r>
      <rPr>
        <sz val="12"/>
        <rFont val="宋体"/>
        <charset val="134"/>
      </rPr>
      <t>W</t>
    </r>
    <r>
      <rPr>
        <sz val="12"/>
        <rFont val="宋体"/>
        <charset val="134"/>
      </rPr>
      <t>8</t>
    </r>
  </si>
  <si>
    <r>
      <rPr>
        <sz val="12"/>
        <rFont val="宋体"/>
        <charset val="134"/>
      </rPr>
      <t>w</t>
    </r>
    <r>
      <rPr>
        <sz val="12"/>
        <rFont val="宋体"/>
        <charset val="134"/>
      </rPr>
      <t>14</t>
    </r>
  </si>
  <si>
    <t>退役军人事务局</t>
  </si>
  <si>
    <r>
      <rPr>
        <sz val="12"/>
        <rFont val="宋体"/>
        <charset val="134"/>
      </rPr>
      <t>w</t>
    </r>
    <r>
      <rPr>
        <sz val="12"/>
        <rFont val="宋体"/>
        <charset val="134"/>
      </rPr>
      <t>12</t>
    </r>
  </si>
  <si>
    <t>医疗保障局</t>
  </si>
  <si>
    <t>1、医疗卫生管理事务（卫生健康局）</t>
  </si>
  <si>
    <t>2、乡镇卫生院人员经费</t>
  </si>
  <si>
    <r>
      <rPr>
        <sz val="12"/>
        <rFont val="宋体"/>
        <charset val="134"/>
      </rPr>
      <t>W</t>
    </r>
    <r>
      <rPr>
        <sz val="12"/>
        <rFont val="宋体"/>
        <charset val="134"/>
      </rPr>
      <t>10</t>
    </r>
  </si>
  <si>
    <t>3、疾病预防控制（疾控中心）</t>
  </si>
  <si>
    <t>4、卫生计生监督局</t>
  </si>
  <si>
    <t>5、妇计中心</t>
  </si>
  <si>
    <t>6、计生协会</t>
  </si>
  <si>
    <t xml:space="preserve"> 环境保护管理事务（环保局）</t>
  </si>
  <si>
    <t>县城管局</t>
  </si>
  <si>
    <t>城监执法大队</t>
  </si>
  <si>
    <t>退役安置人员25人</t>
  </si>
  <si>
    <t xml:space="preserve">  2、环境卫生和园林绿化服务中心</t>
  </si>
  <si>
    <t>37个执法编制人员按2.5万元安排</t>
  </si>
  <si>
    <t>农机事务服务中心</t>
  </si>
  <si>
    <r>
      <rPr>
        <sz val="12"/>
        <rFont val="宋体"/>
        <charset val="134"/>
      </rPr>
      <t>W</t>
    </r>
    <r>
      <rPr>
        <sz val="12"/>
        <rFont val="宋体"/>
        <charset val="134"/>
      </rPr>
      <t>1</t>
    </r>
  </si>
  <si>
    <t>编办定编290人，实有在职在编人数210人，内聘人员81人</t>
  </si>
  <si>
    <r>
      <rPr>
        <sz val="12"/>
        <rFont val="宋体"/>
        <charset val="134"/>
      </rPr>
      <t>w</t>
    </r>
    <r>
      <rPr>
        <sz val="12"/>
        <rFont val="宋体"/>
        <charset val="134"/>
      </rPr>
      <t>2</t>
    </r>
  </si>
  <si>
    <t>公益水库管理人员（差额）</t>
  </si>
  <si>
    <t xml:space="preserve"> 1、交通运输局机关</t>
  </si>
  <si>
    <t xml:space="preserve"> 2、交通综合执法大队</t>
  </si>
  <si>
    <t>执法编制按2.5万元安排</t>
  </si>
  <si>
    <t xml:space="preserve"> 3、客运办</t>
  </si>
  <si>
    <t xml:space="preserve"> 4、公路建设养护中心</t>
  </si>
  <si>
    <t xml:space="preserve"> 5、道路运输服务中心</t>
  </si>
  <si>
    <t xml:space="preserve">    1、商业企业改制服务办</t>
  </si>
  <si>
    <t xml:space="preserve">    2、供销社</t>
  </si>
  <si>
    <r>
      <rPr>
        <sz val="11"/>
        <rFont val="Times New Roman"/>
        <charset val="134"/>
      </rPr>
      <t xml:space="preserve">       1</t>
    </r>
    <r>
      <rPr>
        <sz val="11"/>
        <rFont val="宋体"/>
        <charset val="134"/>
      </rPr>
      <t>、自然资源事务</t>
    </r>
  </si>
  <si>
    <t xml:space="preserve">  2、防震减灾预警中心</t>
  </si>
  <si>
    <t xml:space="preserve">     工业企业改制服务办</t>
  </si>
  <si>
    <t>2023年东安县一般公共预算本级支出预算表-专项资金安排情况表</t>
  </si>
  <si>
    <t xml:space="preserve">                                    单位：万元</t>
  </si>
  <si>
    <t>预 算 科 目</t>
  </si>
  <si>
    <t>2023年部门预算数</t>
  </si>
  <si>
    <t>2022年部门预算数</t>
  </si>
  <si>
    <t>增减</t>
  </si>
  <si>
    <t>增长％</t>
  </si>
  <si>
    <t>备注:分配到各部门预算单位的专项工作经费按20%比例压缩，老年人经费应急管理安全生产防火防震防汛抗旱救灾气象武警消防武装等支出未压减。(共计压减工作经费4385万元）</t>
  </si>
  <si>
    <t>压减专项工作经费</t>
  </si>
  <si>
    <t>合    计</t>
  </si>
  <si>
    <t>1、人大事务（人大）</t>
  </si>
  <si>
    <t>（1）人大代表活动费</t>
  </si>
  <si>
    <t>代表每人每年1000元第十八届代表人数268人</t>
  </si>
  <si>
    <t>（2）人大常委经费</t>
  </si>
  <si>
    <t>常委每人每年0.8万元人数35人</t>
  </si>
  <si>
    <t>（3）监督法经费</t>
  </si>
  <si>
    <t>（4）人大“十大行”活动经费</t>
  </si>
  <si>
    <t>（5）财政监督及部门预算联网审查经费</t>
  </si>
  <si>
    <t>系统维护经费20万元</t>
  </si>
  <si>
    <t>（6）《东安人大》编制经费</t>
  </si>
  <si>
    <t>（7）地方性法规及规范性文件备案审查经费</t>
  </si>
  <si>
    <t>（8）接待经费</t>
  </si>
  <si>
    <t>（9）人大询问</t>
  </si>
  <si>
    <t>（10）代表视察调研及议案建议办理经费</t>
  </si>
  <si>
    <t>（11）乡镇人大代表经费</t>
  </si>
  <si>
    <t>（12）人大代表培训经费</t>
  </si>
  <si>
    <t>（13）人大代表联系群众工作室</t>
  </si>
  <si>
    <t>上级人大要求</t>
  </si>
  <si>
    <t>（14）乡镇人大代表联系群众工作平台建设经费</t>
  </si>
  <si>
    <t>（15）县人大办专项工作经费</t>
  </si>
  <si>
    <t>按上级要求取消</t>
  </si>
  <si>
    <t>（16）人大会议经费</t>
  </si>
  <si>
    <t>（17）人大代表议案建议督促办理工作实施专项资金</t>
  </si>
  <si>
    <t>2022年县委常委会第22次会议研究同意</t>
  </si>
  <si>
    <t>（18）预算审查前听取人大代表和社会各界意见建议经费</t>
  </si>
  <si>
    <t>全国人大常委会要求</t>
  </si>
  <si>
    <t>2、政协事务（政协）</t>
  </si>
  <si>
    <t>（1）政协委员活动费</t>
  </si>
  <si>
    <t>委员每人每年1000元代表人数193人</t>
  </si>
  <si>
    <t>（2）政协常委经费</t>
  </si>
  <si>
    <t>常委每人每年0.8万元人数39人</t>
  </si>
  <si>
    <t>（3）提案办理经费</t>
  </si>
  <si>
    <t>（4）《东安政协》编制经费</t>
  </si>
  <si>
    <t>（5）文史编制</t>
  </si>
  <si>
    <t>（6）调研经费</t>
  </si>
  <si>
    <t>（7）老主席联谊活动</t>
  </si>
  <si>
    <t>（8）乡镇政协工委及界别工作经费</t>
  </si>
  <si>
    <t>（9）政协云运行维护升级发展经费</t>
  </si>
  <si>
    <t>（10）政协委员培训经费</t>
  </si>
  <si>
    <t>（11）民主监督工作经费</t>
  </si>
  <si>
    <t>（12）政协工作向基层延伸工作经费</t>
  </si>
  <si>
    <t>（13）政协委员工作室建设经费</t>
  </si>
  <si>
    <t>（15）县政协专项工作经费</t>
  </si>
  <si>
    <t>（14）接待经费</t>
  </si>
  <si>
    <t>3、政府及相关事务</t>
  </si>
  <si>
    <t>1）政府办</t>
  </si>
  <si>
    <t>（1）《东安政报》编制经费</t>
  </si>
  <si>
    <t>（2）应急值班处理经费</t>
  </si>
  <si>
    <t>（3）政务事务处理经费</t>
  </si>
  <si>
    <t>含议案、建议办理及节能减排工作经费</t>
  </si>
  <si>
    <t>（4）政府督查经费</t>
  </si>
  <si>
    <t>（5）县政府发展研究中心运行经费</t>
  </si>
  <si>
    <t>县政府研究同意（重大课题和专题工作调研8万元、起草工作报4万元、经济形势重点项目产业发展分析及重大决策信息咨询8万元、信息报送内部刊物编制4万元）</t>
  </si>
  <si>
    <t>（6）接待经费</t>
  </si>
  <si>
    <t>（7）移动应急平台经费</t>
  </si>
  <si>
    <t>设备使用及维护经费（县政府研究同意）</t>
  </si>
  <si>
    <t>（8）对外联络等专项经费</t>
  </si>
  <si>
    <t>（9）网络租赁维修及电视电话等经费</t>
  </si>
  <si>
    <t>（10）金融办经费</t>
  </si>
  <si>
    <t>（11）县办实事经费</t>
  </si>
  <si>
    <t>（12）两会筹备工作经费</t>
  </si>
  <si>
    <t>（13）走访慰问经费</t>
  </si>
  <si>
    <t>（14）节能减排工作经费</t>
  </si>
  <si>
    <t>（15）议案、建议办理工作经费</t>
  </si>
  <si>
    <t>（16）处置涉众类金融风险隐患工作经费</t>
  </si>
  <si>
    <t>2022年县委常委会研究同意</t>
  </si>
  <si>
    <t>（17）政府办专项工作经费</t>
  </si>
  <si>
    <t>按上级要求取消经费52.5万元</t>
  </si>
  <si>
    <t>3）侨联工作经费</t>
  </si>
  <si>
    <t>4）政府信息公开</t>
  </si>
  <si>
    <t>含电子政务4万元政府研究同意</t>
  </si>
  <si>
    <t>行政审批局</t>
  </si>
  <si>
    <t>5）行政效能投诉中心</t>
  </si>
  <si>
    <t>含县长热线办、行政效能投诉经费</t>
  </si>
  <si>
    <t>6）优化经济环境办公室</t>
  </si>
  <si>
    <t>7）重点项目服务中心</t>
  </si>
  <si>
    <t>8）网信办</t>
  </si>
  <si>
    <t>网络舆情信息处置工作经费24万元，网上群众工作平台续约经费20万元，核心网络员队伍建设经费24万元</t>
  </si>
  <si>
    <t>9）信访事务</t>
  </si>
  <si>
    <t>依法信访12万元、信访例会8万元、长沙信访维稳20万元、北京信访维稳20万元、北京同乡会8万元</t>
  </si>
  <si>
    <t>10）人防办</t>
  </si>
  <si>
    <t>人防应急专用车费用,移到住房保障支出科目</t>
  </si>
  <si>
    <t>（ 1）跑项争资项目包装经费</t>
  </si>
  <si>
    <t>其中：发展和改革项目立项前期包装工作经费100万元，新增债券资金申报前期编制工作经费100万元，产业项目建设指挥部及产业链各小组工作经费200万元，节能环保项目跑项增资前期编制项目经费100万元，交通运输项目前期包装工作经费100万元、住建保障性住房项目前期包装编制费用100万元，重大产业项目开工仪式宣传经费100万元，中央预算内重大基建项目申报编制工作经费100万元，生态文明建设项目资金前期编制规划工作经费100万元（县政府审批）</t>
  </si>
  <si>
    <t>（ 2）发展和改革局项目工作经费</t>
  </si>
  <si>
    <t xml:space="preserve">   （3）粮食流通统计调查与粮食安全省长责任考核工作经费</t>
  </si>
  <si>
    <t>5、统计信息事务</t>
  </si>
  <si>
    <t>（1）统计调查及年报经费</t>
  </si>
  <si>
    <t>（2）城镇及住户调查经费</t>
  </si>
  <si>
    <t>（3）劳动和商品抽样调查</t>
  </si>
  <si>
    <t>（4）禽畜、牲畜调查经费</t>
  </si>
  <si>
    <t>（5）乡镇统计站经费</t>
  </si>
  <si>
    <t>（6）粮食产粮调查</t>
  </si>
  <si>
    <t>（7）1％人口抽样调查</t>
  </si>
  <si>
    <t>国务院及省政府要求</t>
  </si>
  <si>
    <t>（8）投入产出调查</t>
  </si>
  <si>
    <t>国家统计局文件要求</t>
  </si>
  <si>
    <t>（9）住户调查电子记账工作经费</t>
  </si>
  <si>
    <t>国家和省文件要求</t>
  </si>
  <si>
    <t>（10）第七次人口普查</t>
  </si>
  <si>
    <t>人口普查（2020-2022年）已结束</t>
  </si>
  <si>
    <t>（11）第五次经济普查经费</t>
  </si>
  <si>
    <t>经济普查（2023-2025）预计经费450万元：2023年350万元（专用设备采购费200万元、普查员1184人补贴100万元、其他费用50万元）、2024年80万元、2025年20万元）</t>
  </si>
  <si>
    <t>（12）农民工工资调查经费</t>
  </si>
  <si>
    <t>上级文件要求</t>
  </si>
  <si>
    <t>（13）民调专项工作经费</t>
  </si>
  <si>
    <t>（1）财政监督管理</t>
  </si>
  <si>
    <t>（2）政府债务化解金融债务报表统计经费</t>
  </si>
  <si>
    <t>（3）政府采购管理</t>
  </si>
  <si>
    <t>（4）预算管理一体化系统建设运行费用</t>
  </si>
  <si>
    <t>（5）国库集中支付及工资系统运行经费</t>
  </si>
  <si>
    <t>（6）惠农政策宣传培训经费</t>
  </si>
  <si>
    <t>（7）农村公益事业财政奖补工作经费</t>
  </si>
  <si>
    <t>（8）预算绩效管理工作经费</t>
  </si>
  <si>
    <t>（9）投资评审工作经费</t>
  </si>
  <si>
    <t>（10）全县部门预算编制经费</t>
  </si>
  <si>
    <t>（11）全县预算单位网络运行及维护经费</t>
  </si>
  <si>
    <t>（12）全县电子非税收入一般缴款书运行经费</t>
  </si>
  <si>
    <t>2023年非税收入全部采用电子缴款书，取消票据购置费</t>
  </si>
  <si>
    <t>（13)政府会计制度改革</t>
  </si>
  <si>
    <t>取消专项经费2万元</t>
  </si>
  <si>
    <t>7、税收事务</t>
  </si>
  <si>
    <t>其中非税征管280万、税务稽查及所得税征管320万、超收分成200万、征收手续费2200万，乡镇财政管理工作经费和资金监管工作经费200万。（由县政府审批）</t>
  </si>
  <si>
    <t>8、审计事务</t>
  </si>
  <si>
    <t>同级财政审计、金审工程、政府投资项目审计、审计执法成本80万元，大数据审计分析应用系统建设经费40万元（第四次审计委员会研究同意）</t>
  </si>
  <si>
    <t>9、人事事务</t>
  </si>
  <si>
    <t>1）机构编制委员会</t>
  </si>
  <si>
    <t>行政单位统一社会信用代码管理4万元事业单位登记管理16万元事业单位年检年审费4万元取消专项经费2万元</t>
  </si>
  <si>
    <t>2）人力资源和社会保障局</t>
  </si>
  <si>
    <t xml:space="preserve"> （1）人力社会福利</t>
  </si>
  <si>
    <t xml:space="preserve"> （2）招聘事业单位人员培训经费</t>
  </si>
  <si>
    <t xml:space="preserve"> （3）人力资源档案管理工作经费</t>
  </si>
  <si>
    <t>3）引进人才发展专项资金</t>
  </si>
  <si>
    <t>其中：春节走访慰问优秀人才经费120万元，各单位聘请及购买专业技术人员经费200万元，引进专业人才购房补贴200万元，公务员招考及引进人才工作经费50万元，事业单位及教师招聘工作经费100万元，农村中小学教师人才津贴县级配套180万元，人才引进人员生活补贴150万元，县政府审批。</t>
  </si>
  <si>
    <t>10、纪检监察及相关事务</t>
  </si>
  <si>
    <t>（1）纪委机关</t>
  </si>
  <si>
    <t xml:space="preserve">    办案专项经费</t>
  </si>
  <si>
    <t>取消专项经费3万元</t>
  </si>
  <si>
    <t>（2）乡镇场纪委工作经费</t>
  </si>
  <si>
    <t>16个乡镇每个工作经费2.4万办案经费8万</t>
  </si>
  <si>
    <t>（3）非专职纪检员及乡镇纪检干部津贴</t>
  </si>
  <si>
    <t>纪委监察机关工作人员岗位津贴已打卡发放无派出机构</t>
  </si>
  <si>
    <t>（4）县委巡察办工作经费</t>
  </si>
  <si>
    <t>（5）县区交叉常规巡察工作经费</t>
  </si>
  <si>
    <t>（6）巡察组工作经费</t>
  </si>
  <si>
    <t>4个巡察组每个8万元巡察信息中心工作经费8万元</t>
  </si>
  <si>
    <t>（7）派出纪检监察组工作经费</t>
  </si>
  <si>
    <t>13个派出纪检组每个8万元</t>
  </si>
  <si>
    <t>11、商贸事务</t>
  </si>
  <si>
    <t>招商引资奖励及工作经费</t>
  </si>
  <si>
    <t>其中：开放型经济工作经费170万元，优化营商环境测评经费20万元，参与各项博览会经费50万元，县政府审批</t>
  </si>
  <si>
    <t>其中（1）招商引资接待费</t>
  </si>
  <si>
    <t>（2）承接产业转移办公室工作经费</t>
  </si>
  <si>
    <t>取消专项经费2.5万元</t>
  </si>
  <si>
    <t>（3）县投资促进局工作经费</t>
  </si>
  <si>
    <t>（4）市场运行监测经费</t>
  </si>
  <si>
    <t>（5）开放性经济领导小组工作经费</t>
  </si>
  <si>
    <t>（6）外资工作经费</t>
  </si>
  <si>
    <t>（7）东莞同乡会经费</t>
  </si>
  <si>
    <t>同乡会经费8万元</t>
  </si>
  <si>
    <t>（8）电商办运行经费</t>
  </si>
  <si>
    <t>电商办公大楼租金30万元、运行16万元、电子商务进农村综合示范县工作经费8万元</t>
  </si>
  <si>
    <t>12、档案事务（档案馆）</t>
  </si>
  <si>
    <t>日常档案管理经费8万元，档案馆建设经费100万元（县政府审批）</t>
  </si>
  <si>
    <t>13、市场监督管理事务</t>
  </si>
  <si>
    <t xml:space="preserve">    （1）工商质量监督办证经费</t>
  </si>
  <si>
    <t>食品药品工商质量技术监督取消行政收费各项办证补助</t>
  </si>
  <si>
    <t xml:space="preserve">    （2）村（社区）市场协管信息员经费</t>
  </si>
  <si>
    <t xml:space="preserve">    （3）市场价格监督执法管理经费</t>
  </si>
  <si>
    <t xml:space="preserve">    （4）抽样检测经费</t>
  </si>
  <si>
    <t>含食品药品抽样检测经费及烟草、盐业、酒类等执法经费，减少农产品检测费22万元</t>
  </si>
  <si>
    <t xml:space="preserve">    （5）食品药品安全委员会</t>
  </si>
  <si>
    <t>含食品安全整顿治理、有奖举报、风险监测经费</t>
  </si>
  <si>
    <t xml:space="preserve">    （6）农产品和计量器具强制检测专项经费</t>
  </si>
  <si>
    <t>上级文件规定及省市考核要求，按抽样样品件数计算，需安排农产品质量监测经费72万元、计量器具强制检定经费32万元</t>
  </si>
  <si>
    <t xml:space="preserve">  （7）工业企业产品质量定期检验经费</t>
  </si>
  <si>
    <t>上缴市财政</t>
  </si>
  <si>
    <t>14、共产党事务</t>
  </si>
  <si>
    <t>1）县委办</t>
  </si>
  <si>
    <t>（1）东安通讯</t>
  </si>
  <si>
    <t>（2）大督查办公室</t>
  </si>
  <si>
    <t>（3）咨询委员会</t>
  </si>
  <si>
    <t>（4）政研室经费</t>
  </si>
  <si>
    <t>（5）重要文献研究</t>
  </si>
  <si>
    <t>（7）重大紧急信息处理工作经费</t>
  </si>
  <si>
    <t>（9）县委改革与发展研究中心经费</t>
  </si>
  <si>
    <t>（10）对台工作经费</t>
  </si>
  <si>
    <t>（11）国安办经费</t>
  </si>
  <si>
    <t>由政法委转入</t>
  </si>
  <si>
    <t>（12）县委专项工作经费</t>
  </si>
  <si>
    <t>（13）深化改革办经费</t>
  </si>
  <si>
    <t>2）宣传部</t>
  </si>
  <si>
    <t>（1）精神文明建设经费</t>
  </si>
  <si>
    <t>（2）外宣及新闻网</t>
  </si>
  <si>
    <t>（3）县委中心组学习</t>
  </si>
  <si>
    <t>（4）记者接待</t>
  </si>
  <si>
    <t>（5）新闻奖励</t>
  </si>
  <si>
    <t>（6）网络评论员</t>
  </si>
  <si>
    <t>（7）宣传部专项工作经费</t>
  </si>
  <si>
    <t>（8）舆情监控等</t>
  </si>
  <si>
    <t>3）组织部</t>
  </si>
  <si>
    <t>（1）干部教育经费</t>
  </si>
  <si>
    <t>（2）档案管理经费</t>
  </si>
  <si>
    <t>（3）建整扶贫办</t>
  </si>
  <si>
    <t>（4）远程教育</t>
  </si>
  <si>
    <t>（5）星级党组织创建</t>
  </si>
  <si>
    <t>（6）党代表视察经费</t>
  </si>
  <si>
    <t>（7）党员网格化管理</t>
  </si>
  <si>
    <t>（8）大学生村官管理</t>
  </si>
  <si>
    <t>（9）县直机关党员教育经费</t>
  </si>
  <si>
    <t>（10）“潇湘红云智慧党建”平台光纤租赁费</t>
  </si>
  <si>
    <t>（11）“两新”非公有制经济和社会组织经费</t>
  </si>
  <si>
    <t>（12）远教站点运行经费</t>
  </si>
  <si>
    <t>远教站点项目取消</t>
  </si>
  <si>
    <t>（13）乡镇党建工作专项经费</t>
  </si>
  <si>
    <t>永组发（2020）9号规定：每个村4万元/年</t>
  </si>
  <si>
    <t>（14）乡镇党校建设工作经费</t>
  </si>
  <si>
    <t>永组发（2020）2号规定：16个乡镇场每个5万元</t>
  </si>
  <si>
    <t>（15）组织部专项工作经费</t>
  </si>
  <si>
    <t>（16）公务员培训经费</t>
  </si>
  <si>
    <t>（17）党员教育培训经费</t>
  </si>
  <si>
    <t>人均80元/年，由县政府审批使用</t>
  </si>
  <si>
    <t>4）统战部</t>
  </si>
  <si>
    <t>（1）统战工作经费</t>
  </si>
  <si>
    <t>按上级要求取消经费3万元</t>
  </si>
  <si>
    <t>（2）海联会工作经费</t>
  </si>
  <si>
    <t>（3）特殊统战对象扶助经费</t>
  </si>
  <si>
    <t>（4）“四同”创建活动经费</t>
  </si>
  <si>
    <t>（5）党外人士联谊会活动经费</t>
  </si>
  <si>
    <t>（6）侨务外事宗教经费</t>
  </si>
  <si>
    <t>（7）凝心聚力“十四五”行动经费</t>
  </si>
  <si>
    <t>5）政法委</t>
  </si>
  <si>
    <t>（1）综合治理</t>
  </si>
  <si>
    <t>（2）平安城市创建</t>
  </si>
  <si>
    <t>（3）见义勇为基金</t>
  </si>
  <si>
    <t>移到一般公共服务支出--国家赔偿和及义勇为基金中</t>
  </si>
  <si>
    <t>（4）维稳办</t>
  </si>
  <si>
    <t>（5）国安办</t>
  </si>
  <si>
    <t>职能划转至县委办</t>
  </si>
  <si>
    <t>（6）反邪教防控及警示教育经费</t>
  </si>
  <si>
    <t>含涉网斗争和网宣工作等经费</t>
  </si>
  <si>
    <t>（7）反邪教警示教育</t>
  </si>
  <si>
    <t>（8）政法委专项工作经费</t>
  </si>
  <si>
    <t>按上级要求取消经费5万元</t>
  </si>
  <si>
    <t>（9）综合治理考评</t>
  </si>
  <si>
    <t>6）工商联</t>
  </si>
  <si>
    <t>（1）业务费</t>
  </si>
  <si>
    <t>（2）光促会</t>
  </si>
  <si>
    <t>（3）工商联专项工作经费</t>
  </si>
  <si>
    <t>按上级要求取消经费2.5万元</t>
  </si>
  <si>
    <t>（4）非公党工委工作经费</t>
  </si>
  <si>
    <t>7）史志办</t>
  </si>
  <si>
    <t>（1）史志课题研究经费</t>
  </si>
  <si>
    <t>（2）党史联络</t>
  </si>
  <si>
    <t>8）老干事务</t>
  </si>
  <si>
    <t>（1）退休老干部特需、体检等费用</t>
  </si>
  <si>
    <t>（2）老干部活动中心工作经费</t>
  </si>
  <si>
    <t>（3）关心下一代协会经费</t>
  </si>
  <si>
    <t>（4）中老年自我保健</t>
  </si>
  <si>
    <t>老年科协</t>
  </si>
  <si>
    <t>（5）关心下一代扶贫助学资金</t>
  </si>
  <si>
    <t>（6）老年大学</t>
  </si>
  <si>
    <t>老年大学分校办学经费16万元</t>
  </si>
  <si>
    <t xml:space="preserve">  （7）老龄办</t>
  </si>
  <si>
    <t>1）妇联</t>
  </si>
  <si>
    <t>三八节活动经费4万元、六一活动费4万元、婚姻家庭纠纷调解委员会经费4万元、心理健康服务和推广家庭教育专项经费16万元、每个乡镇妇联工作经费1.6万元计27.2万元，县委常委会第23次会议研究同意增加妇女儿童活动中心经费8万元</t>
  </si>
  <si>
    <t>2）团县委</t>
  </si>
  <si>
    <t>省文件规定按青少年人数每人1元标准安排，含每个乡镇团委工作经费1.6万元计27.2万元</t>
  </si>
  <si>
    <t>3）总工会</t>
  </si>
  <si>
    <t>含职工之家创建经费8万元五一活动经费4万元上缴上级工会4万元每个乡镇总工会工作经费1.6万元计27.2万元</t>
  </si>
  <si>
    <t>16、其他一般公共服务支出</t>
  </si>
  <si>
    <t>专项接待费</t>
  </si>
  <si>
    <t>由县政府审批</t>
  </si>
  <si>
    <t>国家赔偿费及见义勇为基金</t>
  </si>
  <si>
    <t>由县政府审批（国家赔偿10万元、见义勇为基金10万元）</t>
  </si>
  <si>
    <t>行政事业单位执收成本及办案经费支出</t>
  </si>
  <si>
    <t>2023年执收成本及办案经费支出预计5258万元</t>
  </si>
  <si>
    <t>全县一类会议经费</t>
  </si>
  <si>
    <t>分别安排到县委办人大办政协办</t>
  </si>
  <si>
    <t>县委县政府文件统一印制经费</t>
  </si>
  <si>
    <t>信息化建设及小型购置专项经费</t>
  </si>
  <si>
    <t>信访综治经费</t>
  </si>
  <si>
    <t>由县里集中掌握使用含综合治理人平1元工作经费（由县政府审批）</t>
  </si>
  <si>
    <t>矛盾调处经费</t>
  </si>
  <si>
    <t>四大家运转经费</t>
  </si>
  <si>
    <t>含公共机构节能工作经费10万元、含人武装部大院维护费70万元、机关食堂运转经费30万元</t>
  </si>
  <si>
    <t>政府救助基金（含贫困党员帮扶资金）</t>
  </si>
  <si>
    <t>年终绩效考核表彰经费</t>
  </si>
  <si>
    <t>禁止发放个人奖励经费减少</t>
  </si>
  <si>
    <t>实有人口管理办公室</t>
  </si>
  <si>
    <t>公安局</t>
  </si>
  <si>
    <t>学校周边环境专项整治办公室</t>
  </si>
  <si>
    <t>教育局</t>
  </si>
  <si>
    <t>特殊人群专项办公室</t>
  </si>
  <si>
    <t>司法局</t>
  </si>
  <si>
    <t>预防青少年违法犯罪办公室</t>
  </si>
  <si>
    <t>三调联动办公室</t>
  </si>
  <si>
    <t>重点整治办公室</t>
  </si>
  <si>
    <t>综治办</t>
  </si>
  <si>
    <t>铁路护路办公室</t>
  </si>
  <si>
    <t>医疗纠纷治理办公室</t>
  </si>
  <si>
    <t>卫生健康局</t>
  </si>
  <si>
    <t>来湘少数民族人员服务管理办公室</t>
  </si>
  <si>
    <t>“两新组织”专项工作办公室</t>
  </si>
  <si>
    <t>县委组织部</t>
  </si>
  <si>
    <t>虚拟社会管理专项工作办公室</t>
  </si>
  <si>
    <t>县委宣传部</t>
  </si>
  <si>
    <t>315消费者日</t>
  </si>
  <si>
    <t>市场监督管理局</t>
  </si>
  <si>
    <t>省市年鉴（湖南2.5万永州3.5万）</t>
  </si>
  <si>
    <t>省市要求</t>
  </si>
  <si>
    <t>四大家公用电费</t>
  </si>
  <si>
    <t>2022年电费实际支出88万元</t>
  </si>
  <si>
    <t>美术书法作家摄影音乐诗社太极拳门球气排球篮球京剧协会</t>
  </si>
  <si>
    <t>门球协会1万元</t>
  </si>
  <si>
    <t>云数据指挥中心维护经费</t>
  </si>
  <si>
    <t>数据中心100万元及分中心维护费20万元</t>
  </si>
  <si>
    <t>协税护税经费</t>
  </si>
  <si>
    <t>矿权出让办工作经费</t>
  </si>
  <si>
    <t>公务用车运行费</t>
  </si>
  <si>
    <t>县政府审批</t>
  </si>
  <si>
    <t>1、武装警察</t>
  </si>
  <si>
    <t>按上级文件人均0.8万元/年安排其中医药费3万</t>
  </si>
  <si>
    <t>2、公安</t>
  </si>
  <si>
    <t>1）公安局</t>
  </si>
  <si>
    <t>（1）城市协警辅警经费</t>
  </si>
  <si>
    <t>120名协警辅警人均5万元/年</t>
  </si>
  <si>
    <t>（2）加班补助</t>
  </si>
  <si>
    <t>根据上级要求提高标准据实结算</t>
  </si>
  <si>
    <t>（3）值勤津贴</t>
  </si>
  <si>
    <t>2）看守所</t>
  </si>
  <si>
    <t>看守所羁押人员生活费96万元服装更新经费4万元</t>
  </si>
  <si>
    <t>3）拘留所</t>
  </si>
  <si>
    <t>拘留人员生活费20万元</t>
  </si>
  <si>
    <t>4）禁毒工作经费</t>
  </si>
  <si>
    <t>其中：禁毒日常工作经费80万元（公安局），社会化禁毒工作经费20万元（政府办），含社区戒毒康复、禁毒示范城市创建、禁毒表彰、特殊涉毒人员、禁毒教育基地建设维护、采购学生毒品预防教育读本等经费</t>
  </si>
  <si>
    <t>3、国家安全</t>
  </si>
  <si>
    <t>4、司法(司法局）</t>
  </si>
  <si>
    <t>（1）法律援助</t>
  </si>
  <si>
    <t>（2）社区矫正经费</t>
  </si>
  <si>
    <t>上级要求及县政府研究同意政府采购服务项目</t>
  </si>
  <si>
    <t>（3）人民调解</t>
  </si>
  <si>
    <t>（4）法制工作经费</t>
  </si>
  <si>
    <t>（5）行政复议办公室经费</t>
  </si>
  <si>
    <t>（6）普法经费</t>
  </si>
  <si>
    <t>5、交警大队</t>
  </si>
  <si>
    <t>协警辅警共60人人均5万元/年</t>
  </si>
  <si>
    <t>（4）交通事故车辆拖车费及停车费</t>
  </si>
  <si>
    <t>6、保密事务</t>
  </si>
  <si>
    <t>电子政务内网运维经费</t>
  </si>
  <si>
    <t>7、其他公共安全支出</t>
  </si>
  <si>
    <t>含电子监控网络、巡逻、打假币等经费100万元，“二所合一”建设经费830万元，城市快警及农村铺警经费1670万元，反电诈经费200万元，扫黑除恶专项整治工作经费200万元</t>
  </si>
  <si>
    <t>1、普通教育</t>
  </si>
  <si>
    <t>（1）学校财产保险</t>
  </si>
  <si>
    <t>（2）退休福利</t>
  </si>
  <si>
    <t>取消项目</t>
  </si>
  <si>
    <t>（3）农民教育</t>
  </si>
  <si>
    <t>（4）教师培训培养费</t>
  </si>
  <si>
    <t>由教育局统筹县财政监管按工资总额1.5％安排学校经费60万元工作经费50万元</t>
  </si>
  <si>
    <t>（5）义务教育保障机制县级配套</t>
  </si>
  <si>
    <t>公用经费735万寄宿生生活费90万</t>
  </si>
  <si>
    <t>（6）中小学生心理健康教育县级配套</t>
  </si>
  <si>
    <t>上级文件要求配套</t>
  </si>
  <si>
    <t>（7）原中小学退休民办教师生活困难补助</t>
  </si>
  <si>
    <t>上级要求配套（省、县各50％）</t>
  </si>
  <si>
    <t>（9）偏远山区学校教师生活补助</t>
  </si>
  <si>
    <t>（10）教师工伤保险及失业保险</t>
  </si>
  <si>
    <t>工伤保险按工资总额33484*0.85%计算285</t>
  </si>
  <si>
    <t>（11）名师工作室补贴</t>
  </si>
  <si>
    <t>合并到三名工程科目</t>
  </si>
  <si>
    <t>（12）乡村学校班主任津贴含心里健康教师津贴</t>
  </si>
  <si>
    <t>按实结算</t>
  </si>
  <si>
    <t>（13）校长津贴</t>
  </si>
  <si>
    <t>（14）代课教师经费</t>
  </si>
  <si>
    <t>（15）退休教师独生子女父母奖励资金</t>
  </si>
  <si>
    <t>按实际结算</t>
  </si>
  <si>
    <t>（16）水岭学校土地租赁费</t>
  </si>
  <si>
    <t>移到水岭乡政府专项支出</t>
  </si>
  <si>
    <t>（17）公费定向培养</t>
  </si>
  <si>
    <t>政府常务会议研究按实结算，每年招生人数在增加</t>
  </si>
  <si>
    <t>（18）三名工程经费</t>
  </si>
  <si>
    <t>市级名师2*1.6=3.2、市级学科带头人12*0.8=9.6、市级骨干教师17*0.5=8.5、县级骨干教师191*0.3=57.3、县级名师63*0.8=50.4，共计128.7万元</t>
  </si>
  <si>
    <t>（19）学生资助经费</t>
  </si>
  <si>
    <t>上级要求配套按实结算</t>
  </si>
  <si>
    <t>（20）学校安保人员工资</t>
  </si>
  <si>
    <t>政府采购合同2021年9月至2023年8月2150万元</t>
  </si>
  <si>
    <t>（21）普通、成人高考及初高中学业水平考试经费</t>
  </si>
  <si>
    <t>（22）普通高中公用经费保障机制县级配套</t>
  </si>
  <si>
    <t>上级要求配套据实结算</t>
  </si>
  <si>
    <t>（23）公办及普惠性幼儿园公用经费保障机制县级配套</t>
  </si>
  <si>
    <t>（24）乡村教师定期体检费</t>
  </si>
  <si>
    <t>一年一次体检每人300元</t>
  </si>
  <si>
    <t>（25）教师节慰问金</t>
  </si>
  <si>
    <t>（26）教育明星奖及全县教育工作会议</t>
  </si>
  <si>
    <t>据实结算</t>
  </si>
  <si>
    <t>（27）高考奖励及高中教学质量奖</t>
  </si>
  <si>
    <t>（28）运动会艺术节</t>
  </si>
  <si>
    <t>（29）教育精准扶贫</t>
  </si>
  <si>
    <t>（30）学生乘车车位补贴</t>
  </si>
  <si>
    <t>（31）各中小学校课后服务费返还</t>
  </si>
  <si>
    <t>各中小学校上缴的课后服务费返还</t>
  </si>
  <si>
    <t>（32）农村小规模学校课后服务费财政补贴</t>
  </si>
  <si>
    <t>县委第29次常务会议研究同意</t>
  </si>
  <si>
    <t>（33）机关运转经费</t>
  </si>
  <si>
    <t>取消教辅发行费弥补机关经费</t>
  </si>
  <si>
    <t>（34）各项教育专项工作经费</t>
  </si>
  <si>
    <t>（减少大中专就业6万元、减少教育投入奖励10万元、合格学校及“全面改薄”建设减少20万元、合计减少36万元），督导评估10万元、学前教育推进10万元、校车管理15万元、学生资助10万元、民办教育发展10万元、合格学校及“全面改薄”建设10万元、保障机制10万元、督学责任区30万元，未成年人保护工作经费5万元，增加防溺水宣传经费20万元</t>
  </si>
  <si>
    <t>2、城市教育费附加及地方教育费附加支出</t>
  </si>
  <si>
    <t>2022年两项附加收入1442万元</t>
  </si>
  <si>
    <t>（1）校舍维修县级配套</t>
  </si>
  <si>
    <t>（2）职业教育</t>
  </si>
  <si>
    <t>含人平1元设职业教育发展基金、职业教师培训费及中职助学金县级配套</t>
  </si>
  <si>
    <t>（3）教育信息化建设</t>
  </si>
  <si>
    <t>（4）教育发展基金</t>
  </si>
  <si>
    <t>（5）一中、耀祥中学发展专项资金</t>
  </si>
  <si>
    <t>（6）学前中小学校办学条件改善资金</t>
  </si>
  <si>
    <t>（7）教育质量监测和教学研究经费</t>
  </si>
  <si>
    <t>3、城市维护建设税（用于城区学位建设）</t>
  </si>
  <si>
    <t>城市维护建设税按20%提取用于中小学和幼儿园校舍建设2022年收入1356万元</t>
  </si>
  <si>
    <t>4、党校培训</t>
  </si>
  <si>
    <t>（1）培训经费</t>
  </si>
  <si>
    <t>（2）农村干部学历教育</t>
  </si>
  <si>
    <t>项目取消</t>
  </si>
  <si>
    <t xml:space="preserve"> (3)教学研究及行政后勤保障经费</t>
  </si>
  <si>
    <t>教师进修8万元教学科研8万元行政后勤8万元</t>
  </si>
  <si>
    <t>2、科学技术普及</t>
  </si>
  <si>
    <t>按省定人均1元标准安排其中科协工作经费19.2万元（压减4.8万元）</t>
  </si>
  <si>
    <t>3、其他科学技术支出</t>
  </si>
  <si>
    <t>由县政府审批（含科技三项费用、高科技企业奖补资金300万元）</t>
  </si>
  <si>
    <t>其中：科技下乡服务</t>
  </si>
  <si>
    <t>科工局组织实施</t>
  </si>
  <si>
    <t xml:space="preserve">     科技信息“户”联网建设配套</t>
  </si>
  <si>
    <t xml:space="preserve">     老年科协</t>
  </si>
  <si>
    <t xml:space="preserve">     知识产权战略监管扶持经费</t>
  </si>
  <si>
    <t>市场监督管理局组织实施</t>
  </si>
  <si>
    <t>1、文化</t>
  </si>
  <si>
    <t>（1）图书购置</t>
  </si>
  <si>
    <t>（2）图书网络建设</t>
  </si>
  <si>
    <t>（3）图书馆分馆建设</t>
  </si>
  <si>
    <t>（4）农家书屋配套及维护管理</t>
  </si>
  <si>
    <t>（5）图书馆免费开放</t>
  </si>
  <si>
    <t>（6）文化馆免费开放</t>
  </si>
  <si>
    <t>（7）东安文艺编制及惠民演出经费</t>
  </si>
  <si>
    <t>（8）少儿音乐舞蹈等赛事经费</t>
  </si>
  <si>
    <t>（9）艺术团</t>
  </si>
  <si>
    <t>（10）非物质文化遗产工作经费</t>
  </si>
  <si>
    <t>（11）唐生智故居管理经费</t>
  </si>
  <si>
    <t>（12）五下乡</t>
  </si>
  <si>
    <t>（13）广场文化经费</t>
  </si>
  <si>
    <t>（14）送戏下乡工作经费</t>
  </si>
  <si>
    <t>（15）户户通维护经费</t>
  </si>
  <si>
    <t>（16）春晚经费</t>
  </si>
  <si>
    <t>举办春晚安排据实结算</t>
  </si>
  <si>
    <t>（17）文化综合执法大队</t>
  </si>
  <si>
    <t>综合执法能力建设10万</t>
  </si>
  <si>
    <t>2、文物保护</t>
  </si>
  <si>
    <t xml:space="preserve">  3、旅游</t>
  </si>
  <si>
    <t xml:space="preserve"> 旅游事务发展中心业务费</t>
  </si>
  <si>
    <t>4、体育（全民健身中心）</t>
  </si>
  <si>
    <t>（1）武术强县</t>
  </si>
  <si>
    <t>（2）老年体协</t>
  </si>
  <si>
    <t>（3）全民健身中心机关运行经费</t>
  </si>
  <si>
    <t>（4）全民健身日活动经费</t>
  </si>
  <si>
    <t>（5）各种赛事活动经费</t>
  </si>
  <si>
    <t>5、广播影视（融媒体中心）</t>
  </si>
  <si>
    <t>（1）特殊群体有线电视优惠费用</t>
  </si>
  <si>
    <t>（2）整治虚假违法广告</t>
  </si>
  <si>
    <t xml:space="preserve"> (3)融媒体中心运行维护及外宣工作经费</t>
  </si>
  <si>
    <t>（新湖南软件运维费24万元、新东安APP运维费16.8万元、新闻外宣工作经费32万元)</t>
  </si>
  <si>
    <t xml:space="preserve"> (4)新闻采访用车、采访设备维护及省市记者接待等经费</t>
  </si>
  <si>
    <t>（5）农村“村村响”维护费</t>
  </si>
  <si>
    <t>其中“雪亮工程”“村村响”电费20万元包干，维护费30万元分各乡镇</t>
  </si>
  <si>
    <t>（6）农村电影放映补助</t>
  </si>
  <si>
    <t>补助标准提高县财政配套增加省市配套比例调整</t>
  </si>
  <si>
    <t>（7）乡镇老放映员生活困难补助</t>
  </si>
  <si>
    <t>上级文件要求给予发放生活困难补助</t>
  </si>
  <si>
    <t>6、文学艺术界联合会活动经费</t>
  </si>
  <si>
    <t>迎春送福进万家活动8万元，出版发行《舜峰》《舜峰诗词》杂志4万元</t>
  </si>
  <si>
    <t>7、全民健身模范县、德武文化专项经费</t>
  </si>
  <si>
    <t>县政府审批据实使用</t>
  </si>
  <si>
    <t>1、民政管理事务</t>
  </si>
  <si>
    <t>（1）殡葬执法经费</t>
  </si>
  <si>
    <t>（2）城乡困难群众基本殡葬服务费</t>
  </si>
  <si>
    <t>湘民发[2012]58号文件，人员社保经费12万元据实结算</t>
  </si>
  <si>
    <t>（3）敬老院及五保之家</t>
  </si>
  <si>
    <t>根据湘民发[2022]14号、永民发(2020)25号文件规定：供养机构日常运行经费按入住对象人数每年人均不低于3000元/人/年标准予以保障，按入住330人*3000元/人/年=99万元，供养机构工作人员人头经费按每人每年不低于4万元标准予以保障，按18所供养机构每个机构3个人预算安排，需216万元，据实结算。</t>
  </si>
  <si>
    <t>2、民政事物工作经费</t>
  </si>
  <si>
    <t>3、困难群众救助</t>
  </si>
  <si>
    <t>含城乡低保、特困人员、临时救助、流浪乞讨、孤儿及事实无抚养孤儿抚养经费县级配套1560万元（据实结算），低保工作经费96万元。</t>
  </si>
  <si>
    <t>4、三孤、统战</t>
  </si>
  <si>
    <t>民政统战对象生活补助、文革三孤生活补助</t>
  </si>
  <si>
    <t>5、六十年代精简退职</t>
  </si>
  <si>
    <t>6、社会保障和就业管理事务</t>
  </si>
  <si>
    <t>劳动监察大队经费8万元，劳动仲裁8万元，根治拖欠农民工工资工作经费8万元，社保基金监督管理举报奖励经费13万元（举报奖励5万元）、工伤保险信息系统维护及稽核经费8万元，失业保险信息系统维护及稽核经费8万元，城乡居民社会养老保险政策宣传、信息保存、稽核认证工作经费32万元</t>
  </si>
  <si>
    <t>7、就业补助</t>
  </si>
  <si>
    <t>按省文件要求配套</t>
  </si>
  <si>
    <t>8、企业养老保险基金补贴</t>
  </si>
  <si>
    <t>按省市要求配套，其中企业养老县级配套600万元（全国统筹后县级新增负担部分），养老保险信息系统维护费24万元，养老保险稽核专项工作经费24万元，军转干部困难生活补贴40万元,1953年入伍并在企业退休退役士兵补助和老工人生活补贴16万元，建国初期参加革命退休干部生活补贴15万</t>
  </si>
  <si>
    <t>9、城乡居民社会养老保险补贴</t>
  </si>
  <si>
    <t>财政对居民缴费补贴171.27万元、财政代特殊群体养老缴费196.68万元、省基础养老金提标及根据永人社函[2022]1号从2022年1月起每人每月提标10元县财政负担部分1959.05万元（据实结算）</t>
  </si>
  <si>
    <t xml:space="preserve">  10、机关事业单位养老保险基金支出</t>
  </si>
  <si>
    <t>全年城镇干部职工退休人员6732人，基本养老保险金支出37045万元，预算人员经费中安排单位缴费收入11710万元，另个人缴费收入5855万元.</t>
  </si>
  <si>
    <t>11、机关事业单位新增退休人员职业年金虚账记实</t>
  </si>
  <si>
    <t>12、退役军人事务经费</t>
  </si>
  <si>
    <t>新增军干所退休职工1人（据实结算），退役军人管理工作经费40万元，信访维稳工作经费8万元</t>
  </si>
  <si>
    <t>13、退役军人家庭优待金</t>
  </si>
  <si>
    <t>从2022年起中央负担城乡退役军人家庭优待金1万元/人，地方负担3000元/人，按118人预计，由县政府审批按实结算</t>
  </si>
  <si>
    <t>14、参战退役家庭生活困难人员生活补助</t>
  </si>
  <si>
    <t>按上级文件规定安排</t>
  </si>
  <si>
    <t>15、退役士兵自主择业一次性经济补偿</t>
  </si>
  <si>
    <t>湘财预【2020】237号自主择业退役士兵每人每年补贴4500元</t>
  </si>
  <si>
    <t>16、优抚对象“两类人员”补助</t>
  </si>
  <si>
    <t>湘财社[2022]26号地方负担部分我县负担60%、省级负担40%，带病回乡退伍军人176人*700元/月、农村和城镇无工作单位参战参试人员1563人*750元/月（据实结算）</t>
  </si>
  <si>
    <t>17、大学生参军入伍一次性鼓励金</t>
  </si>
  <si>
    <t>永政发【2016】20号文件规定：按照毕业生6000元/人、在校生4000元/人、新生2000元/人的标准发放一次性鼓励金。</t>
  </si>
  <si>
    <t>18、其他社会保障支出</t>
  </si>
  <si>
    <t>（1）失地农民生活补贴</t>
  </si>
  <si>
    <t>（含新农合、新农保、居民医保参保费）其中白牙市镇工作经费8万元，芦江水库指挥部28万（按实结算）</t>
  </si>
  <si>
    <t>（2）国家公职人员及离退休人员死亡抚恤</t>
  </si>
  <si>
    <t>新增现役军人死亡抚恤金100万元</t>
  </si>
  <si>
    <t>（3）基本养老保险服务补贴</t>
  </si>
  <si>
    <t>上级要求每人每月20元按实结算</t>
  </si>
  <si>
    <t>（4）农村危房改造</t>
  </si>
  <si>
    <t>按省市要求配套（据实结算）移到住房保障支出科目</t>
  </si>
  <si>
    <t>（5）高龄补贴和百岁老人长寿金</t>
  </si>
  <si>
    <t>（6）重阳节等活动</t>
  </si>
  <si>
    <t>民政含重阳节慰问、老年优待证、敬老助老等</t>
  </si>
  <si>
    <t>（7）边界联检专项经费</t>
  </si>
  <si>
    <t>（8）残疾人各项补贴县本级配套资金</t>
  </si>
  <si>
    <t>两项补贴每人每月80元需配套367万元、0-6岁残疾儿童康复及辅具适配10万元、困难残疾人无障碍改造15万元、从残疾人保障基金中提取工作经费32万元</t>
  </si>
  <si>
    <t>（9）特困企业离休干部遗孀或配偶生活费</t>
  </si>
  <si>
    <t>省文件规定生活费提标</t>
  </si>
  <si>
    <t>1、医疗保障管理事务</t>
  </si>
  <si>
    <t>（1）城乡居民医疗保险经费</t>
  </si>
  <si>
    <t xml:space="preserve">  其中：县级配套经费</t>
  </si>
  <si>
    <t>2022居民参保人数465000人，县级配套资金3404万元，含市级财政配套316.24万元，（2020年预算要求社保基金预与县本级预算数据一致，所以单列）</t>
  </si>
  <si>
    <t xml:space="preserve">       医疗保险工作经费</t>
  </si>
  <si>
    <t>医疗保险信息系统维护费32万元，稽核经费40万元（含举报经费）</t>
  </si>
  <si>
    <t xml:space="preserve">       城乡医疗救助</t>
  </si>
  <si>
    <t>按湘医保发【2021】29号、永医保发【2021】25号文件，特惠保270万元、财政兜底801万元平移到医疗救助，尿毒症生活费300万元，尿毒症医疗救助340万元，手工救助300万元，系统医疗救助700万，资助参保637万（资助320元的13606人，资助160元的12619人），合计3348万元。上级补助1523万元，县级1825万元</t>
  </si>
  <si>
    <t>（2）基本公共卫生服务</t>
  </si>
  <si>
    <t>根据上级要求配套，其中：基本公共卫生服务配套495万元（按常住人口49.04万人，每人每年89元计算，含孕前免费检查经费11.52万元），安排卫生健康事务经费80万元，红十字会经费5万元，行政村卫生室运行补助县级配套90.3万元</t>
  </si>
  <si>
    <t>（3）重大突发公共卫生应急防控防治经费</t>
  </si>
  <si>
    <t>含防疫物资购置储备、供应保障、实验室建设等经费，其中卫生健康局应急防控经费50万元</t>
  </si>
  <si>
    <t>(4）卫生差额补助</t>
  </si>
  <si>
    <t>县本级部分人民医院130万元中医院65万元芦洪市人民医院50万元</t>
  </si>
  <si>
    <t>(5）公立医院改革补贴</t>
  </si>
  <si>
    <t>县本级部分人民医院172万中医院40万妇幼保健院26万芦洪市医院46万</t>
  </si>
  <si>
    <t>2、疾病预防控制</t>
  </si>
  <si>
    <t>（1）冷链运转经费</t>
  </si>
  <si>
    <t>（2）入学新生肺结核病筛查防疫经费</t>
  </si>
  <si>
    <t>省市文件规定</t>
  </si>
  <si>
    <t>（3）计划免疫经费</t>
  </si>
  <si>
    <t>（4）防二经费</t>
  </si>
  <si>
    <t>（5）预防性、卫生检测、委托性卫生防疫经费</t>
  </si>
  <si>
    <t>停征三项行政收费补助</t>
  </si>
  <si>
    <t>（6）防艾经费</t>
  </si>
  <si>
    <t>（7）农村生活饮用水水质检测费</t>
  </si>
  <si>
    <t>农村生活饮用水水质检测中心运行维护费用</t>
  </si>
  <si>
    <t>3、妇幼事务</t>
  </si>
  <si>
    <t xml:space="preserve"> （1）降消项目配套</t>
  </si>
  <si>
    <t xml:space="preserve"> （2）免费婚检经费</t>
  </si>
  <si>
    <t xml:space="preserve"> （3）两癌免费检查配套</t>
  </si>
  <si>
    <r>
      <rPr>
        <sz val="11"/>
        <rFont val="宋体"/>
        <charset val="134"/>
      </rPr>
      <t>任务数</t>
    </r>
    <r>
      <rPr>
        <sz val="11"/>
        <rFont val="Times New Roman"/>
        <charset val="134"/>
      </rPr>
      <t>7000</t>
    </r>
    <r>
      <rPr>
        <sz val="11"/>
        <rFont val="宋体"/>
        <charset val="134"/>
      </rPr>
      <t>人，每人</t>
    </r>
    <r>
      <rPr>
        <sz val="11"/>
        <rFont val="Times New Roman"/>
        <charset val="134"/>
      </rPr>
      <t>140</t>
    </r>
    <r>
      <rPr>
        <sz val="11"/>
        <rFont val="宋体"/>
        <charset val="134"/>
      </rPr>
      <t>元，县财政负担</t>
    </r>
    <r>
      <rPr>
        <sz val="11"/>
        <rFont val="Times New Roman"/>
        <charset val="134"/>
      </rPr>
      <t>60%</t>
    </r>
  </si>
  <si>
    <t xml:space="preserve"> （4）新生儿先天性心脏病免费筛查项目经费</t>
  </si>
  <si>
    <t>湘财社指[2022]21号每人38元，县本级按60%负担22.8元/人，任务数2500人</t>
  </si>
  <si>
    <t xml:space="preserve"> （5）孕产妇免费产前筛查</t>
  </si>
  <si>
    <r>
      <rPr>
        <sz val="11"/>
        <rFont val="宋体"/>
        <charset val="134"/>
      </rPr>
      <t>任务数2500人，每人</t>
    </r>
    <r>
      <rPr>
        <sz val="11"/>
        <rFont val="Times New Roman"/>
        <charset val="134"/>
      </rPr>
      <t>174</t>
    </r>
    <r>
      <rPr>
        <sz val="11"/>
        <rFont val="宋体"/>
        <charset val="134"/>
      </rPr>
      <t>元，县财政负担</t>
    </r>
    <r>
      <rPr>
        <sz val="11"/>
        <rFont val="Times New Roman"/>
        <charset val="134"/>
      </rPr>
      <t>60%</t>
    </r>
    <r>
      <rPr>
        <sz val="11"/>
        <rFont val="宋体"/>
        <charset val="134"/>
      </rPr>
      <t>，省级按140元/人分级负担，县级需另负担34元/人（174元-140元）</t>
    </r>
  </si>
  <si>
    <t>4、计划生育事务</t>
  </si>
  <si>
    <t>（1）计生协会</t>
  </si>
  <si>
    <t>（2）人口信息系统经费</t>
  </si>
  <si>
    <t>（3）打击“两非”经费</t>
  </si>
  <si>
    <t>职能转变取消</t>
  </si>
  <si>
    <t>（4）社区计生经费</t>
  </si>
  <si>
    <t>（5）农村部分计划生育家庭奖励扶助</t>
  </si>
  <si>
    <t>奖扶8470人、960元/年、县负担地方40%中的30%</t>
  </si>
  <si>
    <t>（6）计划生育家庭特别扶助</t>
  </si>
  <si>
    <t>永财社[2022]2号，独生子女死亡311人，每人每月705元；独生子女伤残246人，每人每月550元</t>
  </si>
  <si>
    <t>（7）流动人口管理</t>
  </si>
  <si>
    <t>（8）独生子女保健费</t>
  </si>
  <si>
    <t>独生子女保健费发放380人，240元/年，县级配套80%6.15万。</t>
  </si>
  <si>
    <t>（9）城镇独生子女奖励政策县级配套</t>
  </si>
  <si>
    <r>
      <rPr>
        <sz val="10"/>
        <color rgb="FF000000"/>
        <rFont val="宋体"/>
        <charset val="134"/>
      </rPr>
      <t>5700人、</t>
    </r>
    <r>
      <rPr>
        <sz val="10"/>
        <color rgb="FF000000"/>
        <rFont val="Times New Roman"/>
        <charset val="134"/>
      </rPr>
      <t>960</t>
    </r>
    <r>
      <rPr>
        <sz val="10"/>
        <color rgb="FF000000"/>
        <rFont val="宋体"/>
        <charset val="134"/>
      </rPr>
      <t>元</t>
    </r>
    <r>
      <rPr>
        <sz val="10"/>
        <color rgb="FF000000"/>
        <rFont val="Times New Roman"/>
        <charset val="134"/>
      </rPr>
      <t>/</t>
    </r>
    <r>
      <rPr>
        <sz val="10"/>
        <color rgb="FF000000"/>
        <rFont val="宋体"/>
        <charset val="134"/>
      </rPr>
      <t>年、县</t>
    </r>
    <r>
      <rPr>
        <sz val="10"/>
        <color rgb="FF000000"/>
        <rFont val="Times New Roman"/>
        <charset val="134"/>
      </rPr>
      <t>50%</t>
    </r>
    <r>
      <rPr>
        <sz val="10"/>
        <color rgb="FF000000"/>
        <rFont val="宋体"/>
        <charset val="134"/>
      </rPr>
      <t>、《湖南省完善城镇独生子女父母奖励办法若干规定》（湘政发[2014]27号，总体上由省级财政承担50%）</t>
    </r>
  </si>
  <si>
    <t>（10）计划生育手术并发症</t>
  </si>
  <si>
    <t>永财社[2022]2号，二级3人，每人每月560元；三级21人，每人每月430元</t>
  </si>
  <si>
    <t>（11）避孕药具</t>
  </si>
  <si>
    <t>5、特殊人员医疗保险缴费</t>
  </si>
  <si>
    <t>困难企业退休退养人员医医疗保险费100万、离休干部医药费80万、伤残军人医药费50万元</t>
  </si>
  <si>
    <t>6、抽样检测经费</t>
  </si>
  <si>
    <t>含食品药品农产品抽样检测经费及烟草、盐业、酒类、粮食等执法经费，移到市场监督管理科目</t>
  </si>
  <si>
    <t>7、食品药品安全委员会</t>
  </si>
  <si>
    <t>含食品安全整顿治理、有奖举报、风险监测经费，移到市场监督管理科目</t>
  </si>
  <si>
    <t>8、麻风病经费</t>
  </si>
  <si>
    <t>麻风病人7例</t>
  </si>
  <si>
    <t>9、老乡村医生生活困难补助县级配套</t>
  </si>
  <si>
    <t>上级补助69万元</t>
  </si>
  <si>
    <t>10、乡镇卫生院全科医生津贴</t>
  </si>
  <si>
    <t>100人，6000元/人/年</t>
  </si>
  <si>
    <t>11、肇事肇祸等严重精神障碍患者支出</t>
  </si>
  <si>
    <t>平安创建要求，监护人奖励971人、2400元/人/年，患者责任险、人身意外伤害险3056人，每人120元，据实结算</t>
  </si>
  <si>
    <t>12、老年人意外保险</t>
  </si>
  <si>
    <t>湘卫发[2019]2号、湘老龄办发[2016]10号、永卫发[2020]28号</t>
  </si>
  <si>
    <t>13、尘肺病农民工基本医疗救助</t>
  </si>
  <si>
    <t>湘财社[2017]7号规定按省级补助资金总额的10%给予配套,2022年上级补助27.27万元</t>
  </si>
  <si>
    <r>
      <rPr>
        <b/>
        <sz val="11"/>
        <rFont val="宋体"/>
        <charset val="134"/>
      </rPr>
      <t xml:space="preserve">   </t>
    </r>
    <r>
      <rPr>
        <sz val="11"/>
        <rFont val="宋体"/>
        <charset val="134"/>
      </rPr>
      <t>（1）环境监测</t>
    </r>
  </si>
  <si>
    <r>
      <rPr>
        <b/>
        <sz val="11"/>
        <rFont val="宋体"/>
        <charset val="134"/>
      </rPr>
      <t xml:space="preserve"> </t>
    </r>
    <r>
      <rPr>
        <sz val="11"/>
        <rFont val="宋体"/>
        <charset val="134"/>
      </rPr>
      <t xml:space="preserve">  （2） 重点生态功能区考核</t>
    </r>
  </si>
  <si>
    <t xml:space="preserve"> （3）城市、农村生活污水处理费</t>
  </si>
  <si>
    <t>城区每月处理费约200万元，农村每月20万元，共计2640万元，从新增一般债券资金中安排1000万元</t>
  </si>
  <si>
    <t xml:space="preserve"> （4）垃圾处理场</t>
  </si>
  <si>
    <t>含垃圾处理中心人员及水电费等运行费用</t>
  </si>
  <si>
    <t xml:space="preserve"> （5）农村生活垃圾治理PPP项目建设营运费</t>
  </si>
  <si>
    <t>2022年实际支付1800万元</t>
  </si>
  <si>
    <t xml:space="preserve"> （6）“两流域、三断面”污染生态修复综合整治资金</t>
  </si>
  <si>
    <t>含“千吨万人”饮用水源保护区划分技术报告编制地勘经费，农村供水工程水资源论证编制费，湘江饮用水水源保护区标准化建设资金、矿山生态修复建设等，从新增一般债券资金中安排2000万元</t>
  </si>
  <si>
    <t xml:space="preserve"> （7）农村环境污染治理</t>
  </si>
  <si>
    <t>县政府研究同意按农村人口人均1.5元/月安排每月约90万元</t>
  </si>
  <si>
    <t>1、公共基础设施及园林绿化国卫创建经费</t>
  </si>
  <si>
    <t>含县城基础设施维修、建设及园林绿化建设维护等</t>
  </si>
  <si>
    <t>2、城乡社区环境卫生</t>
  </si>
  <si>
    <t>城市保洁1582万元(新增面积增加经费16万元）、牛皮癣清理保洁65.18万元，芦洪市镇城区及树德景区保洁费50万元</t>
  </si>
  <si>
    <t>3、其他城乡事务支出</t>
  </si>
  <si>
    <t>（1）建筑行业招投标监管经费</t>
  </si>
  <si>
    <t>（2）市场服务中心工资、绩效考核奖补助</t>
  </si>
  <si>
    <t>含年终绩效考核奖及退休人员一次性生活补贴130万元（提标到2万元每人）</t>
  </si>
  <si>
    <t>（3）湘桂市场租金及大市场消防设施维护经费</t>
  </si>
  <si>
    <t>（租金2017至2021年每年15万元，后10年每年20万）大市场维护25万元</t>
  </si>
  <si>
    <t>（4）人民公园管理事务</t>
  </si>
  <si>
    <t>从公共基础设施建设经费中列支</t>
  </si>
  <si>
    <t>（5）城市社区运转经费</t>
  </si>
  <si>
    <t>根据东组发（2020）10号文件规定：白牙市镇10个社区专职工作者薪酬待遇由县委组织部和当地乡镇党委据实计算，每个社区8人按人平5万元列入预算计400万元，每个社区运转工作经费10万元/个，惠民项目补贴工作经费10万元/个安排。（2022年12月新成立海竹山和青土坪2个社区）</t>
  </si>
  <si>
    <t>（6）都弄山公墓管理经费</t>
  </si>
  <si>
    <t>（7）垃圾清运费</t>
  </si>
  <si>
    <t>垃圾运送到市里处理每个月处理费12.5万元</t>
  </si>
  <si>
    <t>（8）环卫节慰问</t>
  </si>
  <si>
    <t>（9）乡镇路灯电费补贴及县城路灯电费</t>
  </si>
  <si>
    <t>其中城区电费300万元、维修材料费48万元、管理维护工作经费8万元，乡镇电费补贴24万元</t>
  </si>
  <si>
    <t>（10）城市管理协管员经费</t>
  </si>
  <si>
    <t>30名协管员每人5万元包干</t>
  </si>
  <si>
    <t>（11）其他环卫支出</t>
  </si>
  <si>
    <t>绿化环卫中心垃圾清运司机工资保险及车辆保险运行经费180万元、取消收费补助96万元</t>
  </si>
  <si>
    <t>1）农业农村局</t>
  </si>
  <si>
    <t>（1）退库补助</t>
  </si>
  <si>
    <t>取消职能</t>
  </si>
  <si>
    <t>（2）阳光工程县级配套</t>
  </si>
  <si>
    <t>（3）粮食生产工作经费</t>
  </si>
  <si>
    <t>（4）美丽乡村建设工作经费</t>
  </si>
  <si>
    <t>（5）“三品一标”工作经费</t>
  </si>
  <si>
    <t>（6）农业支持保护补贴发放工作经费</t>
  </si>
  <si>
    <t>（7）农业生产环节执法工作经费</t>
  </si>
  <si>
    <t>（8）农业建设事业费</t>
  </si>
  <si>
    <t>（9）"外来生物入侵"防治工作经费</t>
  </si>
  <si>
    <t>2）经管站</t>
  </si>
  <si>
    <t>（1）减负工作经费</t>
  </si>
  <si>
    <t>（2）乡镇会计管理</t>
  </si>
  <si>
    <t>（3）农民专业合作社</t>
  </si>
  <si>
    <t>（4）农村土地承包经营纠纷调节仲裁</t>
  </si>
  <si>
    <t>（5）农村土地承包经营权证信息化管理</t>
  </si>
  <si>
    <t>上级要求安排</t>
  </si>
  <si>
    <t>3）畜牧水产防疫经费</t>
  </si>
  <si>
    <t>防治经费，新增强制免疫经费</t>
  </si>
  <si>
    <t>4）乡镇企业</t>
  </si>
  <si>
    <t>乡镇企业专项经费</t>
  </si>
  <si>
    <t>5）沼气工作经费</t>
  </si>
  <si>
    <t>6）乡村山塘道路维修</t>
  </si>
  <si>
    <t>7）蔬菜发展基金</t>
  </si>
  <si>
    <t>蔬菜发展基金蔬菜检测及专项设备购置经费12万元、新品种试验示范推广经费8万元</t>
  </si>
  <si>
    <t>8）国有农林场改革支出</t>
  </si>
  <si>
    <t>（1）舜管局林场改革</t>
  </si>
  <si>
    <t>林场改革82.56万元毛竹承包费用185万元(2022-2026)取消专项工作经费4万元</t>
  </si>
  <si>
    <t>（2）黄泥洞林场</t>
  </si>
  <si>
    <t>（3）原种场</t>
  </si>
  <si>
    <t>26人养老保险26.6万元、职业年金13.4万元</t>
  </si>
  <si>
    <t>（4）柑桔推广站</t>
  </si>
  <si>
    <t>7人养老保险及职业年金</t>
  </si>
  <si>
    <t>（5）林木种子场</t>
  </si>
  <si>
    <t>18人养老保险及职业年金</t>
  </si>
  <si>
    <t>9）农村公益事业财政奖补县级配套</t>
  </si>
  <si>
    <t>10）其他农业支出</t>
  </si>
  <si>
    <t>（1）舜管局租赁补贴</t>
  </si>
  <si>
    <t>纳入财政预算</t>
  </si>
  <si>
    <t>（2）舜皇岩景区服务中心工资补贴</t>
  </si>
  <si>
    <t>舜管局与舜皇岩协商同意从2013年增加的80万元经费中切40万元到舜皇岩工资补贴</t>
  </si>
  <si>
    <t>（3）农业局委培生补助</t>
  </si>
  <si>
    <t>（4）畜牧员生活补贴</t>
  </si>
  <si>
    <t>（6）发展粮食生产</t>
  </si>
  <si>
    <t>移到乡村振兴建设发展项目</t>
  </si>
  <si>
    <t>（7）农村土地承包经营权流转改革经费</t>
  </si>
  <si>
    <t>（8）特色农业保险县级配套</t>
  </si>
  <si>
    <t>按省市文件规定配套政策性增加由县政府审批</t>
  </si>
  <si>
    <t>（9）创业担保贴息县级配套</t>
  </si>
  <si>
    <t>按省市文件规定配套76万元，其中农信担保公司工作经费24万元</t>
  </si>
  <si>
    <t>（10）全面建设小康社会和发展县域经济</t>
  </si>
  <si>
    <t>（11）农机监理工作经费</t>
  </si>
  <si>
    <t>取消收费补助新增农机监理经费24万元</t>
  </si>
  <si>
    <t>（12）网格化管理中心工作经费</t>
  </si>
  <si>
    <t>（13）动物卫生监督执法经费</t>
  </si>
  <si>
    <t>（14）生猪屠宰环节无害化经费</t>
  </si>
  <si>
    <t>定点屠宰办9.6万元屠宰环节病害猪无害化处理经费30万元</t>
  </si>
  <si>
    <t>2、村级运转经费</t>
  </si>
  <si>
    <t>村干部及离任村干部工资按实有人数统一标准（普通村党支部书记3200元/每月，贫困村党支部书记4000元/每月，村主任和其他人员按1:0.9:0.7确定；连续任职10年到15年或累计任职15年以上的离任村主干220元/月，连续任职16年到20年的离任村主干240元/月，连续任职21年以上的离任村主干260元/月）每月打卡发放；村干部年终绩效考核奖（第十三个月工资），由乡镇党委根据平时工作情况和年终考核结果打卡发放；334个村及居委会每年工资约5509万元，运转经费1477万元，村主干养老保险补贴66万元，平均每村21.11万元.</t>
  </si>
  <si>
    <t>1）白牙市镇</t>
  </si>
  <si>
    <t>39个村，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176万元。</t>
  </si>
  <si>
    <t>农村社区：新圩江镇中田社区，端桥铺镇竹木社区、鹿马桥镇沙溪社区、泉水社区、南桥镇大水社区、大盛镇泗水社区、应水社区</t>
  </si>
  <si>
    <t>2）大庙口镇</t>
  </si>
  <si>
    <t>23个村2个居委会，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107万元。</t>
  </si>
  <si>
    <t>3）紫溪市镇</t>
  </si>
  <si>
    <t>23个村4个居委会，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115万元。</t>
  </si>
  <si>
    <t>4）水岭乡</t>
  </si>
  <si>
    <t>9个村，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39万元。水岭学校租赁费3万元</t>
  </si>
  <si>
    <t>人口3000人以上的村15个石期市1个（石市村）端桥铺2个（含竹木社区）新圩1个（中田社区）井头圩4个（大藕、新塘、紫江、蒋家源）大盛2个（农村社区）鹿马桥3个（2个社区及唐家村）白牙市2个（大塘旺村、莲塘村）</t>
  </si>
  <si>
    <t>5）横塘镇</t>
  </si>
  <si>
    <t>19个村2个居委会，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92万元。</t>
  </si>
  <si>
    <t>6个村2000人以上，2个贫困村</t>
  </si>
  <si>
    <t>6）石期市镇</t>
  </si>
  <si>
    <t>19个村3个居委会，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93万元。</t>
  </si>
  <si>
    <t>7）井头圩镇</t>
  </si>
  <si>
    <t>23个村3个居委会，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122万元。</t>
  </si>
  <si>
    <t>8）川岩乡</t>
  </si>
  <si>
    <t>10个村，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45万元。</t>
  </si>
  <si>
    <t>9）端桥铺镇</t>
  </si>
  <si>
    <t>22个村1个农村社区，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元，101万元。</t>
  </si>
  <si>
    <t>10）鹿马桥镇</t>
  </si>
  <si>
    <t>15个村3个居委会2个农村社区，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沙溪社区惠民项目经费5万元，合计97万元。</t>
  </si>
  <si>
    <t>11）芦洪市镇</t>
  </si>
  <si>
    <t>33个村4个居委会，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应阳社区增加惠民项目经费5万元，合计169万元。</t>
  </si>
  <si>
    <t>12）新圩江镇</t>
  </si>
  <si>
    <t>13个村2个居委会1个农村社区，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72万元。</t>
  </si>
  <si>
    <t>14）花桥镇</t>
  </si>
  <si>
    <t>9个村3个居委会，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52万元。</t>
  </si>
  <si>
    <t>14）大盛镇</t>
  </si>
  <si>
    <t>14个村2个居委会2个农村社区，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78万元。</t>
  </si>
  <si>
    <t>15）南桥镇</t>
  </si>
  <si>
    <t>19个村2个居委会1个农村社区，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及治安卫生务工补贴等5000元，合计93万元。</t>
  </si>
  <si>
    <t>16）舜管局</t>
  </si>
  <si>
    <t>5个村1个居委会，村干部及离任村干部工资按实有人数统一标准计算，村级运转经费含村级办公经费2万元（2000人以上及贫困村3万元）、服务群众专项工作经费1万元(社会保障协理员报酬2400元/年）、农村综合服务平台维修经费5000元、村支“两委”干部体检及治安卫生务工补贴等5000元，合计26万元。</t>
  </si>
  <si>
    <t>17）村主干养老保险补贴</t>
  </si>
  <si>
    <t>党建考核要求</t>
  </si>
  <si>
    <t>18）村级活动场所专项维修资金</t>
  </si>
  <si>
    <t>2016年第17次县委常委会研究同意按每村1000元设立专项资金</t>
  </si>
  <si>
    <t>3、林业</t>
  </si>
  <si>
    <t>（1）退耕还林工作经费</t>
  </si>
  <si>
    <t>职能取消专项经费2万元</t>
  </si>
  <si>
    <t>（2）森林防火经费</t>
  </si>
  <si>
    <t>含森林专业扑火队经费25万元</t>
  </si>
  <si>
    <t>（3）育林基金减收补助</t>
  </si>
  <si>
    <t>省市上级转移支付列入预算</t>
  </si>
  <si>
    <t>（4）林长制运行维护经费</t>
  </si>
  <si>
    <t>（5）紫水国家湿地公园管理局</t>
  </si>
  <si>
    <t>管理经费8万元公园维护16万元管理观测站监测运行费16万元巡护艇巡护车等设备费8万元，绿化养护经费32万元，保安及保洁人员工资16万元</t>
  </si>
  <si>
    <t>4、水利</t>
  </si>
  <si>
    <t>（1）抗旱防汛经费</t>
  </si>
  <si>
    <t>防汛抗旱演练工作经费25万元，各乡镇防汛编制培训演练物资等经费50万元县政府审批</t>
  </si>
  <si>
    <t>（2）小型水库管护经费</t>
  </si>
  <si>
    <t>23座小一型水库管护费5000元/座/年，177座小二型水库管护费2000元/座/年</t>
  </si>
  <si>
    <t>（3）板河建设费用</t>
  </si>
  <si>
    <t>（4）河长制河道保洁运行经费</t>
  </si>
  <si>
    <t>河长制工作经费16万元河道保洁费360万元</t>
  </si>
  <si>
    <t>（5）山洪灾害监测预警广播运行维护管理费</t>
  </si>
  <si>
    <t>其中水利局24万元广播电视台13万元</t>
  </si>
  <si>
    <t>（6）水利和库区移民事务中心</t>
  </si>
  <si>
    <t>（7）高岩水库电站建设期间债务偿还资金</t>
  </si>
  <si>
    <t>5、乡村振兴建设支出</t>
  </si>
  <si>
    <t>其中：乡村振兴局机关工作经费40万元，少数民族发展资金2万元，扶持村级集体经济发展基金500万元，发展粮食生产专项经费500万元，中小型水库维修养护经费200万元，其他含防返贫综合资金，乡村振兴宣传工作经费，易地扶贫搬迁联席办工作经费等1038万元，由县政府审批</t>
  </si>
  <si>
    <t>1、民桥民渡资金</t>
  </si>
  <si>
    <t>2、渡工生活补贴</t>
  </si>
  <si>
    <t>每人每年5000元定额补助</t>
  </si>
  <si>
    <t>3、渡口签单员补助</t>
  </si>
  <si>
    <t>4、县乡公路养护资金</t>
  </si>
  <si>
    <t>5、省道公路建设养护</t>
  </si>
  <si>
    <t>6、道路运输服务中心</t>
  </si>
  <si>
    <t>按省文件规定交通运输服务工作经费</t>
  </si>
  <si>
    <t>7、燃油税改革经费</t>
  </si>
  <si>
    <t>其中拖摩费替代费转移支付79.73万正常增量24.72万新增208万</t>
  </si>
  <si>
    <t>8、农村道路养护</t>
  </si>
  <si>
    <t>每公里补助1000元政府采购</t>
  </si>
  <si>
    <t>9、春运执法</t>
  </si>
  <si>
    <t>10、海事执法船艇地方配套资金</t>
  </si>
  <si>
    <t>按省文件规定配套</t>
  </si>
  <si>
    <t>11、机动车安全技术检验站</t>
  </si>
  <si>
    <t>2016年第46次政府常务会议研究</t>
  </si>
  <si>
    <t>12、通乡及通村公路改造工作经费</t>
  </si>
  <si>
    <t>十二、资源勘探工业信息等支出</t>
  </si>
  <si>
    <t>1、国有资产监管</t>
  </si>
  <si>
    <t>2、产业发展资金</t>
  </si>
  <si>
    <t>1）企业技改优惠政策补助支出</t>
  </si>
  <si>
    <t>工业和信息产业发展资金在政府性基金中安排2.1亿元</t>
  </si>
  <si>
    <t>2）产业园区发展工作经费</t>
  </si>
  <si>
    <t>经济开发区50万取消专项工作经费4万元</t>
  </si>
  <si>
    <t>3）国企改革经费</t>
  </si>
  <si>
    <t>其中节能专项经费4万元，新型工业化8万元，含改制企业留守人员工资、养老医疗保险、遗留问题处理等（由县政府审批）在职人员减少养老医疗保险减少</t>
  </si>
  <si>
    <t>4）工业企业产品质量定期检验经费</t>
  </si>
  <si>
    <t>上缴市市场监督管理局，移到一般公共服务市场监督管理科目</t>
  </si>
  <si>
    <t>5）重点项目奖励及工作经费</t>
  </si>
  <si>
    <t>含全县重点财源项目、指挥部工作经费及金融系统目标考核等</t>
  </si>
  <si>
    <t>十三、自然资源海洋气象等支出</t>
  </si>
  <si>
    <t xml:space="preserve">  1、国土空间规划编制和各项登记颁证工作经费</t>
  </si>
  <si>
    <t>含国土空间规划前期编制费用，农村宅基地和集体建设用地房地一体化确权登记颁证、规划编制、片卫执法等工作经费(县政府审批），其中城乡规划服务中心取消收费补助24万元、铁塔视频监测运营经费40万元</t>
  </si>
  <si>
    <t xml:space="preserve">  2、气象局</t>
  </si>
  <si>
    <t>（1）地方性生活补贴</t>
  </si>
  <si>
    <t>在职及离退休人员生活补贴县财政全额负担</t>
  </si>
  <si>
    <t>（2）“道安监管云”气象观测站运行保障经费</t>
  </si>
  <si>
    <t>（3）气象事业经费</t>
  </si>
  <si>
    <t>（4）为农服务长效机制</t>
  </si>
  <si>
    <t>（5）防雷防震减灾经费</t>
  </si>
  <si>
    <t>十四、住房保障支出</t>
  </si>
  <si>
    <r>
      <rPr>
        <sz val="11"/>
        <rFont val="Times New Roman"/>
        <charset val="134"/>
      </rPr>
      <t xml:space="preserve">        1</t>
    </r>
    <r>
      <rPr>
        <sz val="11"/>
        <rFont val="宋体"/>
        <charset val="134"/>
      </rPr>
      <t>、保障性住房建设及租赁补贴发放工作经费</t>
    </r>
  </si>
  <si>
    <r>
      <rPr>
        <sz val="11"/>
        <rFont val="Times New Roman"/>
        <charset val="134"/>
      </rPr>
      <t xml:space="preserve">        2</t>
    </r>
    <r>
      <rPr>
        <sz val="11"/>
        <rFont val="宋体"/>
        <charset val="134"/>
      </rPr>
      <t>、人防办经费</t>
    </r>
  </si>
  <si>
    <t>人防应急专用车费用职能划转到改革和发展局</t>
  </si>
  <si>
    <t xml:space="preserve">    3、文明创建及小区综合整治工作经费</t>
  </si>
  <si>
    <t xml:space="preserve">    4、白蚁防治经费</t>
  </si>
  <si>
    <t xml:space="preserve">    5、农村危房改造配套资金</t>
  </si>
  <si>
    <t>按省市要求配套（据实结算）</t>
  </si>
  <si>
    <r>
      <rPr>
        <sz val="11"/>
        <rFont val="Times New Roman"/>
        <charset val="134"/>
      </rPr>
      <t xml:space="preserve">      1</t>
    </r>
    <r>
      <rPr>
        <sz val="11"/>
        <rFont val="宋体"/>
        <charset val="134"/>
      </rPr>
      <t>、</t>
    </r>
    <r>
      <rPr>
        <sz val="11"/>
        <rFont val="Times New Roman"/>
        <charset val="134"/>
      </rPr>
      <t xml:space="preserve"> </t>
    </r>
    <r>
      <rPr>
        <sz val="11"/>
        <rFont val="宋体"/>
        <charset val="134"/>
      </rPr>
      <t>粮油事务</t>
    </r>
  </si>
  <si>
    <t>利息62万元、粮食政策性挂账贷款利息150万元、轮换经费及仓库维修经费88万元（县政府审批）</t>
  </si>
  <si>
    <r>
      <rPr>
        <sz val="11"/>
        <rFont val="Times New Roman"/>
        <charset val="134"/>
      </rPr>
      <t xml:space="preserve">      2</t>
    </r>
    <r>
      <rPr>
        <sz val="11"/>
        <rFont val="宋体"/>
        <charset val="134"/>
      </rPr>
      <t>、物资事务办</t>
    </r>
  </si>
  <si>
    <t>门面租金损失财政补贴到人</t>
  </si>
  <si>
    <t>十六、灾害防治及应急管理支出</t>
  </si>
  <si>
    <t>1、安全生产</t>
  </si>
  <si>
    <t>（1）安全生产委员会</t>
  </si>
  <si>
    <t>（2）公共安全重大事故隐患治理资金</t>
  </si>
  <si>
    <t>（3）打非治危专项整治经费</t>
  </si>
  <si>
    <t>（4）安全生产百日行动及宣传经费</t>
  </si>
  <si>
    <t>（5）抗旱防汛防火防震减灾应急经费</t>
  </si>
  <si>
    <t>新增应急指挥中心平台建设维护经费25万元</t>
  </si>
  <si>
    <t>（6）安全生产岗位津贴</t>
  </si>
  <si>
    <t>2、消防大队</t>
  </si>
  <si>
    <t xml:space="preserve">    （1）业务费</t>
  </si>
  <si>
    <t>干部10人、消防救援人员27人，根据省财政厅新文件要求从2021年7月起按人均公用经费按9万元/年安排。</t>
  </si>
  <si>
    <t xml:space="preserve">    （2）消费救援人员绩效奖</t>
  </si>
  <si>
    <t>干部10人、消防救援人员27人，根据省委组织部、省财政厅【2022】123号文件规定：消防救援支队及以下单位执行所在市直机关绩效奖金政策(3.3万元）。</t>
  </si>
  <si>
    <t xml:space="preserve">    （3）文职人员经费</t>
  </si>
  <si>
    <t>文职人员8人，根据省财政厅新文件要求从2021年7月起按人均7.2万/年安排。</t>
  </si>
  <si>
    <t xml:space="preserve">    （4）车辆运行</t>
  </si>
  <si>
    <t>消防车7万元/辆/年（11台），业务用车5万元/辆/年（3台）。</t>
  </si>
  <si>
    <t xml:space="preserve">    （5）应急救援、消防宣传经费</t>
  </si>
  <si>
    <t xml:space="preserve">    （6）芦洪市专职消防队</t>
  </si>
  <si>
    <t>工资、伙食补贴及日常消耗按实结算人员增加（12人）、消防车1台。</t>
  </si>
  <si>
    <t xml:space="preserve">    （7）紫溪森林灭火专职消防队</t>
  </si>
  <si>
    <t>工资、伙食补贴及日常消耗按实结算人员增加（14人）、消防车1台。</t>
  </si>
  <si>
    <t xml:space="preserve">    （8）南桥气象专职消防队</t>
  </si>
  <si>
    <t>工资、伙食补贴及日常消耗按实结算人员增加（10人）、消防车1台。</t>
  </si>
  <si>
    <t xml:space="preserve">    （9）石期市专职消防队</t>
  </si>
  <si>
    <t>十七、预备费</t>
  </si>
  <si>
    <t>县政府研究的支出</t>
  </si>
  <si>
    <t>十八、债务付息支出</t>
  </si>
  <si>
    <t>政府性债券总额44.7161亿元，2023年应还本1.5亿元(一般债券0.72亿元、专项债券0.78亿元），应付利息1.5986亿元（其中一般债券利息6640万元，外贷付息20万元列一般预算支出，专项债券利息9326万元列政府性基金支出）</t>
  </si>
  <si>
    <t>十九、其他支出</t>
  </si>
  <si>
    <t>1、年初预留增人增资</t>
  </si>
  <si>
    <t>2、兵役征集经费</t>
  </si>
  <si>
    <t>（1）国防教育经费</t>
  </si>
  <si>
    <t>（2）民兵训练演练经费</t>
  </si>
  <si>
    <t>（3）民兵组织建设经费</t>
  </si>
  <si>
    <t>（4）民兵政治工作经费</t>
  </si>
  <si>
    <t>（5）民兵训练基地管理费</t>
  </si>
  <si>
    <t>（6）兵役工作经费</t>
  </si>
  <si>
    <t>（7）国防动员经费</t>
  </si>
  <si>
    <t>（8）国动委经费</t>
  </si>
  <si>
    <t>职能划转至县政府办</t>
  </si>
  <si>
    <t>（9）涉军维权经费</t>
  </si>
  <si>
    <t>（10）应急分队建设经费</t>
  </si>
  <si>
    <t>应急管理局</t>
  </si>
  <si>
    <t>停止有偿服务经费补差60万元</t>
  </si>
  <si>
    <t>（11）人武部专项工作经费</t>
  </si>
  <si>
    <t>按上级要求取消经费</t>
  </si>
  <si>
    <t>（12）16个乡镇及9个行业武装部经费</t>
  </si>
  <si>
    <t>15个乡镇加舜管局、教育局、交通局、卫健局、发改局、科工局、经开区、一中、耀祥中学、天成实验学校每年各1万元</t>
  </si>
  <si>
    <t>3、国库存款利息支出</t>
  </si>
  <si>
    <t>2023年东安县税收返还和转移支付预算分项目表</t>
  </si>
  <si>
    <t xml:space="preserve">            单位：万元</t>
  </si>
  <si>
    <t>科目名称</t>
  </si>
  <si>
    <t>专项转移支付支出</t>
  </si>
  <si>
    <t>一般性转移支付支出</t>
  </si>
  <si>
    <t>合   计</t>
  </si>
  <si>
    <t>1、一般公共服务支出</t>
  </si>
  <si>
    <t>2、公共安全支出</t>
  </si>
  <si>
    <t>3、教育支出</t>
  </si>
  <si>
    <t>4、科学技术支出</t>
  </si>
  <si>
    <t>5、文化旅游体育与传媒支出</t>
  </si>
  <si>
    <t>6、社会保障和就业支出</t>
  </si>
  <si>
    <t>7、卫生健康支出</t>
  </si>
  <si>
    <t>8、节能环保支出</t>
  </si>
  <si>
    <t>9、城乡社区支出</t>
  </si>
  <si>
    <t>10、农林水支出</t>
  </si>
  <si>
    <t>扶贫转移支付收入5211万元</t>
  </si>
  <si>
    <t>11、交通运输支出</t>
  </si>
  <si>
    <t>12、资源勘探工业信息等支出</t>
  </si>
  <si>
    <t>13、商业服务业等支出</t>
  </si>
  <si>
    <t>14、自然资源海洋气象等支出</t>
  </si>
  <si>
    <t>15、金融监管等事务支出</t>
  </si>
  <si>
    <t>16、住房保障支出</t>
  </si>
  <si>
    <t>17、粮油物资储备支出</t>
  </si>
  <si>
    <t>18、灾害防治及应急管理支出</t>
  </si>
  <si>
    <t>19、其他支出</t>
  </si>
  <si>
    <t>一般预算支出合计</t>
  </si>
  <si>
    <t>2023年东安县政府性基金预算收支总表</t>
  </si>
  <si>
    <r>
      <rPr>
        <b/>
        <sz val="14"/>
        <rFont val="宋体"/>
        <charset val="134"/>
      </rPr>
      <t>收</t>
    </r>
    <r>
      <rPr>
        <b/>
        <sz val="14"/>
        <rFont val="Times New Roman"/>
        <charset val="134"/>
      </rPr>
      <t xml:space="preserve">                          </t>
    </r>
    <r>
      <rPr>
        <b/>
        <sz val="14"/>
        <rFont val="宋体"/>
        <charset val="134"/>
      </rPr>
      <t>入</t>
    </r>
  </si>
  <si>
    <t>支       出</t>
  </si>
  <si>
    <r>
      <rPr>
        <b/>
        <sz val="12"/>
        <rFont val="宋体"/>
        <charset val="134"/>
      </rPr>
      <t>项</t>
    </r>
    <r>
      <rPr>
        <b/>
        <sz val="12"/>
        <rFont val="Times New Roman"/>
        <charset val="134"/>
      </rPr>
      <t xml:space="preserve">          </t>
    </r>
    <r>
      <rPr>
        <b/>
        <sz val="12"/>
        <rFont val="宋体"/>
        <charset val="134"/>
      </rPr>
      <t>目</t>
    </r>
  </si>
  <si>
    <t>2022年
预算数</t>
  </si>
  <si>
    <t>比上年预算增减额</t>
  </si>
  <si>
    <t>增减率</t>
  </si>
  <si>
    <r>
      <rPr>
        <sz val="11"/>
        <rFont val="宋体"/>
        <charset val="134"/>
      </rPr>
      <t>一、农网还贷资金收入</t>
    </r>
  </si>
  <si>
    <t>一、文化旅游体育与传媒支出</t>
  </si>
  <si>
    <t>二、铁路建设基金收入</t>
  </si>
  <si>
    <t xml:space="preserve">      旅游发展基金支出</t>
  </si>
  <si>
    <t>三、旅游发展基金收入</t>
  </si>
  <si>
    <t>二、社会保障和就业</t>
  </si>
  <si>
    <r>
      <rPr>
        <sz val="11"/>
        <color rgb="FF000000"/>
        <rFont val="宋体"/>
        <charset val="134"/>
      </rPr>
      <t>四、国家电影事业发展专项资金收入</t>
    </r>
  </si>
  <si>
    <t xml:space="preserve">      大中型水库移民后期扶持基金支出</t>
  </si>
  <si>
    <r>
      <rPr>
        <sz val="11"/>
        <rFont val="宋体"/>
        <charset val="134"/>
      </rPr>
      <t>五、国有土地收益基金收入</t>
    </r>
  </si>
  <si>
    <t xml:space="preserve">      移民补助</t>
  </si>
  <si>
    <r>
      <rPr>
        <sz val="11"/>
        <rFont val="宋体"/>
        <charset val="134"/>
      </rPr>
      <t>六、农业土地开发资金收入</t>
    </r>
  </si>
  <si>
    <t>三、节能环保支出</t>
  </si>
  <si>
    <r>
      <rPr>
        <sz val="11"/>
        <rFont val="宋体"/>
        <charset val="134"/>
      </rPr>
      <t>七、国有土地使用权出让收入</t>
    </r>
  </si>
  <si>
    <r>
      <rPr>
        <sz val="11"/>
        <rFont val="Times New Roman"/>
        <charset val="134"/>
      </rPr>
      <t xml:space="preserve">       </t>
    </r>
    <r>
      <rPr>
        <sz val="11"/>
        <rFont val="宋体"/>
        <charset val="134"/>
      </rPr>
      <t>可再生能源电价附加收入安排的支出</t>
    </r>
  </si>
  <si>
    <r>
      <rPr>
        <sz val="11"/>
        <rFont val="宋体"/>
        <charset val="134"/>
      </rPr>
      <t>八、大中型水库库区基金收入</t>
    </r>
  </si>
  <si>
    <t>四、城乡社区支出</t>
  </si>
  <si>
    <r>
      <rPr>
        <sz val="11"/>
        <rFont val="宋体"/>
        <charset val="134"/>
      </rPr>
      <t>九、彩票公益金收入</t>
    </r>
  </si>
  <si>
    <r>
      <rPr>
        <sz val="11"/>
        <rFont val="Times New Roman"/>
        <charset val="134"/>
      </rPr>
      <t xml:space="preserve">      1</t>
    </r>
    <r>
      <rPr>
        <sz val="11"/>
        <rFont val="宋体"/>
        <charset val="134"/>
      </rPr>
      <t>、国有土地使用权出让收入安排的支出</t>
    </r>
  </si>
  <si>
    <r>
      <rPr>
        <sz val="11"/>
        <rFont val="宋体"/>
        <charset val="134"/>
      </rPr>
      <t>十、城市基础设施配套费收入</t>
    </r>
  </si>
  <si>
    <r>
      <rPr>
        <sz val="11"/>
        <rFont val="Times New Roman"/>
        <charset val="134"/>
      </rPr>
      <t xml:space="preserve">           </t>
    </r>
    <r>
      <rPr>
        <sz val="11"/>
        <rFont val="宋体"/>
        <charset val="134"/>
      </rPr>
      <t>其中：工业和信息产业发展基金</t>
    </r>
  </si>
  <si>
    <r>
      <rPr>
        <sz val="11"/>
        <rFont val="宋体"/>
        <charset val="134"/>
      </rPr>
      <t>十一、小型水库移民扶助基金收入</t>
    </r>
  </si>
  <si>
    <t xml:space="preserve">           园区发展资金</t>
  </si>
  <si>
    <r>
      <rPr>
        <sz val="11"/>
        <rFont val="宋体"/>
        <charset val="134"/>
      </rPr>
      <t>十二、国家重大水利工程建设基金收入</t>
    </r>
  </si>
  <si>
    <t xml:space="preserve">           开放型经济发展专项资金</t>
  </si>
  <si>
    <r>
      <rPr>
        <sz val="11"/>
        <rFont val="宋体"/>
        <charset val="134"/>
      </rPr>
      <t>十三、车辆通行费</t>
    </r>
  </si>
  <si>
    <t xml:space="preserve">           消化以前年度暂付款支出</t>
  </si>
  <si>
    <r>
      <rPr>
        <sz val="11"/>
        <rFont val="宋体"/>
        <charset val="134"/>
      </rPr>
      <t>十四、污水处理费收入</t>
    </r>
  </si>
  <si>
    <t xml:space="preserve">   重点民生建设项目支出</t>
  </si>
  <si>
    <t>十五、彩票发行机构和彩票销售机构的业务费用</t>
  </si>
  <si>
    <r>
      <rPr>
        <sz val="11"/>
        <rFont val="Times New Roman"/>
        <charset val="134"/>
      </rPr>
      <t xml:space="preserve">                       </t>
    </r>
    <r>
      <rPr>
        <sz val="11"/>
        <rFont val="宋体"/>
        <charset val="134"/>
      </rPr>
      <t>归还政府隐性债务支出</t>
    </r>
  </si>
  <si>
    <r>
      <rPr>
        <sz val="11"/>
        <rFont val="宋体"/>
        <charset val="134"/>
      </rPr>
      <t>十六、其他政府性基金收入</t>
    </r>
  </si>
  <si>
    <t xml:space="preserve">           征地拆迁报批等费用支出</t>
  </si>
  <si>
    <r>
      <rPr>
        <sz val="11"/>
        <rFont val="宋体"/>
        <charset val="134"/>
      </rPr>
      <t>十七、专项债券对应项目专项收入</t>
    </r>
  </si>
  <si>
    <r>
      <rPr>
        <sz val="11"/>
        <rFont val="Times New Roman"/>
        <charset val="134"/>
      </rPr>
      <t xml:space="preserve">                       </t>
    </r>
    <r>
      <rPr>
        <sz val="11"/>
        <rFont val="宋体"/>
        <charset val="134"/>
      </rPr>
      <t>政府专项债券利息支出</t>
    </r>
  </si>
  <si>
    <t xml:space="preserve">        为民办实事39个老旧小区改造支出</t>
  </si>
  <si>
    <t xml:space="preserve">   2、城市基础设施配套费安排的支出</t>
  </si>
  <si>
    <t xml:space="preserve">   3、污水处理费安排的支出</t>
  </si>
  <si>
    <t>五、其他基金支出</t>
  </si>
  <si>
    <t xml:space="preserve">    彩票公益金安排的支出</t>
  </si>
  <si>
    <t>基金预算收入小计</t>
  </si>
  <si>
    <t>基金预算支出小计</t>
  </si>
  <si>
    <t xml:space="preserve">    转移性收入</t>
  </si>
  <si>
    <t xml:space="preserve">    转移性支出</t>
  </si>
  <si>
    <t xml:space="preserve">      新增专项债券收入</t>
  </si>
  <si>
    <t xml:space="preserve">      政府性基金上解支出</t>
  </si>
  <si>
    <t xml:space="preserve">      政府性基金上级补助收入</t>
  </si>
  <si>
    <t xml:space="preserve">      债务还不支出</t>
  </si>
  <si>
    <t xml:space="preserve">   上年结余收入</t>
  </si>
  <si>
    <t xml:space="preserve">    调出资金</t>
  </si>
  <si>
    <t xml:space="preserve">   调入资金</t>
  </si>
  <si>
    <t xml:space="preserve">    年终结余</t>
  </si>
  <si>
    <t>收入总计</t>
  </si>
  <si>
    <t>支出总计</t>
  </si>
  <si>
    <t>2023年东安县国有资本经营预算收支总表</t>
  </si>
  <si>
    <t>一、国有资本经营收入</t>
  </si>
  <si>
    <t>一、社会保障和就业支出</t>
  </si>
  <si>
    <t xml:space="preserve">    1、利润收入</t>
  </si>
  <si>
    <t>二、国有资本经营预算支出</t>
  </si>
  <si>
    <t xml:space="preserve">    2、股利股息收入</t>
  </si>
  <si>
    <t xml:space="preserve">    1、解决历史遗留问题及改革成本支出</t>
  </si>
  <si>
    <t xml:space="preserve">    3、产权转让收入</t>
  </si>
  <si>
    <t xml:space="preserve">    2、国有企业资本金注入</t>
  </si>
  <si>
    <t xml:space="preserve">    4、清算收入</t>
  </si>
  <si>
    <t xml:space="preserve">    3、国有企业政策性补贴</t>
  </si>
  <si>
    <t xml:space="preserve">    4、金融国有资本经营预算支出</t>
  </si>
  <si>
    <t xml:space="preserve">    5、其他国有资本经营预算支出</t>
  </si>
  <si>
    <t>国有资本经营预算收入小计</t>
  </si>
  <si>
    <t>国有资本经营预算支出小计</t>
  </si>
  <si>
    <t xml:space="preserve">      国有资本经营预算转移支付收入</t>
  </si>
  <si>
    <t xml:space="preserve">     国有资本经营预算转移支付</t>
  </si>
  <si>
    <t xml:space="preserve">      上年结余收入</t>
  </si>
  <si>
    <t xml:space="preserve">     调出资金</t>
  </si>
  <si>
    <t xml:space="preserve">      调入资金</t>
  </si>
  <si>
    <t>2023年东安县社会保险基金收支预算总表</t>
  </si>
  <si>
    <t>项        目</t>
  </si>
  <si>
    <t>合  计</t>
  </si>
  <si>
    <t>城乡居民基本
养老保险基金</t>
  </si>
  <si>
    <t>机关事业单位基
本养老保险基金</t>
  </si>
  <si>
    <t>一、收入</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</si>
  <si>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</si>
  <si>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</si>
  <si>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</si>
  <si>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</si>
  <si>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</si>
  <si>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</si>
  <si>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7.中央调剂资金收入（省级专用）</t>
  </si>
  <si>
    <t xml:space="preserve">         8.中央调剂基金收入（中央专用)</t>
  </si>
  <si>
    <t>二、支出</t>
  </si>
  <si>
    <t xml:space="preserve">    其中:1.社会保险待遇支出</t>
  </si>
  <si>
    <t xml:space="preserve">         2.转移支出</t>
  </si>
  <si>
    <t xml:space="preserve">         3.其他支出</t>
  </si>
  <si>
    <t xml:space="preserve">         4.中央调剂基金支出（中央专用）</t>
  </si>
  <si>
    <t xml:space="preserve">         5.中央调剂资金支出（省级专用）</t>
  </si>
  <si>
    <t>三、上年收支结余</t>
  </si>
  <si>
    <t>四、本年收支结余</t>
  </si>
  <si>
    <t>五、年末滚存结余</t>
  </si>
  <si>
    <t>2023年城乡居民基本养老保险基金收支预算表</t>
  </si>
  <si>
    <t>单位：元</t>
  </si>
  <si>
    <t>2022年执行数</t>
  </si>
  <si>
    <t>一、个人缴费收入</t>
  </si>
  <si>
    <r>
      <rPr>
        <sz val="12"/>
        <color indexed="8"/>
        <rFont val="宋体"/>
        <charset val="134"/>
      </rPr>
      <t>一、基础养老金支出</t>
    </r>
  </si>
  <si>
    <t xml:space="preserve">    其中：财政为困难人员代缴收入</t>
  </si>
  <si>
    <r>
      <rPr>
        <sz val="12"/>
        <color indexed="8"/>
        <rFont val="宋体"/>
        <charset val="134"/>
      </rPr>
      <t>二、个人账户养老金支出</t>
    </r>
  </si>
  <si>
    <t>二、财政补贴收入</t>
  </si>
  <si>
    <r>
      <rPr>
        <sz val="12"/>
        <color indexed="8"/>
        <rFont val="宋体"/>
        <charset val="134"/>
      </rPr>
      <t>三、丧葬补助金支出</t>
    </r>
  </si>
  <si>
    <t xml:space="preserve">    其中：财政对基础养老金的补贴</t>
  </si>
  <si>
    <r>
      <rPr>
        <sz val="12"/>
        <color indexed="8"/>
        <rFont val="宋体"/>
        <charset val="134"/>
      </rPr>
      <t>四、转移支出</t>
    </r>
  </si>
  <si>
    <t xml:space="preserve">          财政对个人缴费的补贴</t>
  </si>
  <si>
    <r>
      <rPr>
        <sz val="12"/>
        <color indexed="8"/>
        <rFont val="宋体"/>
        <charset val="134"/>
      </rPr>
      <t>五、其他支出</t>
    </r>
  </si>
  <si>
    <t>三、集体补助收入</t>
  </si>
  <si>
    <t>×</t>
  </si>
  <si>
    <t>四、利息收入</t>
  </si>
  <si>
    <t>五、委托投资收益</t>
  </si>
  <si>
    <t>六、转移收入</t>
  </si>
  <si>
    <t>七、其他收入</t>
  </si>
  <si>
    <t>八、本年收入小计</t>
  </si>
  <si>
    <r>
      <rPr>
        <sz val="12"/>
        <color indexed="8"/>
        <rFont val="宋体"/>
        <charset val="134"/>
      </rPr>
      <t>六、本年支出小计</t>
    </r>
  </si>
  <si>
    <t>九、上级补助收入</t>
  </si>
  <si>
    <r>
      <rPr>
        <sz val="12"/>
        <color indexed="8"/>
        <rFont val="宋体"/>
        <charset val="134"/>
      </rPr>
      <t>七、补助下级支出</t>
    </r>
  </si>
  <si>
    <t>十、下级上解收入</t>
  </si>
  <si>
    <r>
      <rPr>
        <sz val="12"/>
        <color indexed="8"/>
        <rFont val="宋体"/>
        <charset val="134"/>
      </rPr>
      <t>八、上解上级支出</t>
    </r>
  </si>
  <si>
    <t>十一、本年收入合计</t>
  </si>
  <si>
    <r>
      <rPr>
        <sz val="12"/>
        <color indexed="8"/>
        <rFont val="宋体"/>
        <charset val="134"/>
      </rPr>
      <t>九、本年支出合计</t>
    </r>
  </si>
  <si>
    <r>
      <rPr>
        <sz val="12"/>
        <color indexed="8"/>
        <rFont val="宋体"/>
        <charset val="134"/>
      </rPr>
      <t>十、本年收支结余</t>
    </r>
  </si>
  <si>
    <t>十二、上年结余</t>
  </si>
  <si>
    <r>
      <rPr>
        <sz val="12"/>
        <color indexed="8"/>
        <rFont val="宋体"/>
        <charset val="134"/>
      </rPr>
      <t>十一、年末滚存结余</t>
    </r>
  </si>
  <si>
    <t>2023年机关事业单位基本养老保险基金收支预算表</t>
  </si>
  <si>
    <t>一、基本养老保险费收入</t>
  </si>
  <si>
    <r>
      <rPr>
        <sz val="12"/>
        <color indexed="8"/>
        <rFont val="宋体"/>
        <charset val="134"/>
      </rPr>
      <t>一、基本养老金支出</t>
    </r>
  </si>
  <si>
    <t xml:space="preserve">    其中：当期征缴收入</t>
  </si>
  <si>
    <r>
      <rPr>
        <sz val="12"/>
        <color indexed="8"/>
        <rFont val="宋体"/>
        <charset val="134"/>
      </rPr>
      <t>二、转移支出</t>
    </r>
  </si>
  <si>
    <r>
      <rPr>
        <sz val="12"/>
        <color indexed="8"/>
        <rFont val="宋体"/>
        <charset val="134"/>
      </rPr>
      <t>三、其他支出</t>
    </r>
  </si>
  <si>
    <t xml:space="preserve">    其中：地方财政补贴</t>
  </si>
  <si>
    <t>三、利息收入</t>
  </si>
  <si>
    <t>四、转移收入</t>
  </si>
  <si>
    <t>五、其他收入</t>
  </si>
  <si>
    <t xml:space="preserve">    其中：滞纳金</t>
  </si>
  <si>
    <t>六、本年收入小计</t>
  </si>
  <si>
    <r>
      <rPr>
        <sz val="12"/>
        <color indexed="8"/>
        <rFont val="宋体"/>
        <charset val="134"/>
      </rPr>
      <t>四、本年支出小计</t>
    </r>
  </si>
  <si>
    <t>七、上级补助收入</t>
  </si>
  <si>
    <r>
      <rPr>
        <sz val="12"/>
        <color indexed="8"/>
        <rFont val="宋体"/>
        <charset val="134"/>
      </rPr>
      <t>五、补助下级支出</t>
    </r>
  </si>
  <si>
    <t>八、下级上解收入</t>
  </si>
  <si>
    <r>
      <rPr>
        <sz val="12"/>
        <color indexed="8"/>
        <rFont val="宋体"/>
        <charset val="134"/>
      </rPr>
      <t>六、上解上级支出</t>
    </r>
  </si>
  <si>
    <t>九、本年收入合计</t>
  </si>
  <si>
    <r>
      <rPr>
        <sz val="12"/>
        <color indexed="8"/>
        <rFont val="宋体"/>
        <charset val="134"/>
      </rPr>
      <t>七、本年支出合计</t>
    </r>
  </si>
  <si>
    <r>
      <rPr>
        <sz val="12"/>
        <color indexed="8"/>
        <rFont val="宋体"/>
        <charset val="134"/>
      </rPr>
      <t>八、本年收支结余</t>
    </r>
  </si>
  <si>
    <t>十、上年结余</t>
  </si>
  <si>
    <r>
      <rPr>
        <sz val="12"/>
        <color indexed="8"/>
        <rFont val="宋体"/>
        <charset val="134"/>
      </rPr>
      <t>九、年末滚存结余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</si>
</sst>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0.00"/>
    <numFmt numFmtId="178" formatCode="0.00_ "/>
    <numFmt numFmtId="179" formatCode="0.0_ "/>
    <numFmt numFmtId="180" formatCode="0_);[Red]\(0\)"/>
    <numFmt numFmtId="181" formatCode="0_ "/>
    <numFmt numFmtId="182" formatCode="0.00_);[Red]\(0.00\)"/>
    <numFmt numFmtId="183" formatCode="0.000_ "/>
    <numFmt numFmtId="184" formatCode="0_);\(0\)"/>
    <numFmt numFmtId="185" formatCode="0.0000_ "/>
  </numFmts>
  <fonts count="73">
    <font>
      <sz val="12"/>
      <name val="宋体"/>
      <charset val="134"/>
    </font>
    <font>
      <sz val="11"/>
      <color rgb="FF000000"/>
      <name val="宋体"/>
      <charset val="134"/>
    </font>
    <font>
      <sz val="20"/>
      <color indexed="8"/>
      <name val="方正黑体简体"/>
      <charset val="134"/>
    </font>
    <font>
      <sz val="12"/>
      <color indexed="8"/>
      <name val="宋体"/>
      <charset val="134"/>
    </font>
    <font>
      <sz val="12"/>
      <color indexed="8"/>
      <name val="楷体"/>
      <charset val="134"/>
    </font>
    <font>
      <b/>
      <sz val="12"/>
      <color indexed="8"/>
      <name val="宋体"/>
      <charset val="134"/>
    </font>
    <font>
      <sz val="12"/>
      <color indexed="8"/>
      <name val="Times New Roman"/>
      <charset val="134"/>
    </font>
    <font>
      <sz val="20"/>
      <name val="黑体"/>
      <charset val="134"/>
    </font>
    <font>
      <b/>
      <sz val="12"/>
      <name val="Times New Roman"/>
      <charset val="134"/>
    </font>
    <font>
      <sz val="12"/>
      <name val="楷体"/>
      <charset val="134"/>
    </font>
    <font>
      <b/>
      <sz val="14"/>
      <name val="宋体"/>
      <charset val="134"/>
    </font>
    <font>
      <b/>
      <sz val="12"/>
      <name val="宋体"/>
      <charset val="134"/>
    </font>
    <font>
      <sz val="11"/>
      <name val="宋体"/>
      <charset val="134"/>
    </font>
    <font>
      <sz val="11"/>
      <name val="Times New Roman"/>
      <charset val="134"/>
    </font>
    <font>
      <sz val="12"/>
      <name val="Times New Roman"/>
      <charset val="134"/>
    </font>
    <font>
      <sz val="12"/>
      <name val="黑体"/>
      <charset val="134"/>
    </font>
    <font>
      <sz val="11"/>
      <color rgb="FF000000"/>
      <name val="Times New Roman"/>
      <charset val="134"/>
    </font>
    <font>
      <sz val="10"/>
      <name val="宋体"/>
      <charset val="134"/>
    </font>
    <font>
      <sz val="12"/>
      <name val="楷体_GB2312"/>
      <charset val="134"/>
    </font>
    <font>
      <sz val="14"/>
      <name val="楷体_GB2312"/>
      <charset val="134"/>
    </font>
    <font>
      <sz val="14"/>
      <name val="仿宋_GB2312"/>
      <charset val="134"/>
    </font>
    <font>
      <sz val="12"/>
      <color rgb="FFFF0000"/>
      <name val="宋体"/>
      <charset val="134"/>
    </font>
    <font>
      <sz val="11"/>
      <name val="楷体"/>
      <charset val="134"/>
    </font>
    <font>
      <b/>
      <sz val="11"/>
      <name val="宋体"/>
      <charset val="134"/>
    </font>
    <font>
      <b/>
      <sz val="11"/>
      <name val="Times New Roman"/>
      <charset val="134"/>
    </font>
    <font>
      <b/>
      <sz val="12"/>
      <color rgb="FFFF0000"/>
      <name val="宋体"/>
      <charset val="134"/>
    </font>
    <font>
      <sz val="9"/>
      <name val="宋体"/>
      <charset val="134"/>
    </font>
    <font>
      <sz val="10"/>
      <color theme="1"/>
      <name val="宋体"/>
      <charset val="134"/>
      <scheme val="minor"/>
    </font>
    <font>
      <sz val="10"/>
      <color rgb="FF000000"/>
      <name val="宋体"/>
      <charset val="134"/>
    </font>
    <font>
      <sz val="18"/>
      <name val="黑体"/>
      <charset val="134"/>
    </font>
    <font>
      <sz val="11"/>
      <name val="黑体"/>
      <charset val="134"/>
    </font>
    <font>
      <sz val="12"/>
      <color rgb="FFFF0000"/>
      <name val="Times New Roman"/>
      <charset val="134"/>
    </font>
    <font>
      <sz val="12"/>
      <color rgb="FF000000"/>
      <name val="Times New Roman"/>
      <charset val="134"/>
    </font>
    <font>
      <sz val="20"/>
      <name val="Times New Roman"/>
      <charset val="134"/>
    </font>
    <font>
      <sz val="20"/>
      <color rgb="FF000000"/>
      <name val="Times New Roman"/>
      <charset val="134"/>
    </font>
    <font>
      <sz val="10"/>
      <name val="黑体"/>
      <charset val="134"/>
    </font>
    <font>
      <sz val="10"/>
      <name val="Times New Roman"/>
      <charset val="134"/>
    </font>
    <font>
      <sz val="12"/>
      <color theme="1"/>
      <name val="Times New Roman"/>
      <charset val="134"/>
    </font>
    <font>
      <sz val="9"/>
      <color rgb="FF000000"/>
      <name val="宋体"/>
      <charset val="134"/>
    </font>
    <font>
      <sz val="10"/>
      <name val="Arial"/>
      <charset val="134"/>
    </font>
    <font>
      <b/>
      <sz val="11"/>
      <color rgb="FF000000"/>
      <name val="宋体"/>
      <charset val="134"/>
    </font>
    <font>
      <sz val="16"/>
      <name val="宋体"/>
      <charset val="134"/>
    </font>
    <font>
      <sz val="11"/>
      <color indexed="8"/>
      <name val="宋体"/>
      <charset val="134"/>
    </font>
    <font>
      <sz val="14"/>
      <name val="Times New Roman"/>
      <charset val="134"/>
    </font>
    <font>
      <b/>
      <sz val="14"/>
      <name val="Times New Roman"/>
      <charset val="134"/>
    </font>
    <font>
      <b/>
      <sz val="10"/>
      <name val="Times New Roman"/>
      <charset val="134"/>
    </font>
    <font>
      <b/>
      <sz val="9"/>
      <name val="Times New Roman"/>
      <charset val="134"/>
    </font>
    <font>
      <b/>
      <sz val="10"/>
      <name val="宋体"/>
      <charset val="134"/>
    </font>
    <font>
      <sz val="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
      <sz val="11"/>
      <color rgb="FF000000"/>
      <name val="黑体"/>
      <charset val="134"/>
    </font>
    <font>
      <b/>
      <sz val="9"/>
      <name val="宋体"/>
      <charset val="134"/>
    </font>
    <font>
      <sz val="9"/>
      <name val="宋体"/>
      <charset val="134"/>
    </font>
  </fonts>
  <fills count="38">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EEECE1"/>
        <bgColor indexed="64"/>
      </patternFill>
    </fill>
    <fill>
      <patternFill patternType="solid">
        <fgColor rgb="FFFFFF00"/>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right/>
      <top style="thin">
        <color auto="1"/>
      </top>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auto="1"/>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auto="1"/>
      </bottom>
      <diagonal/>
    </border>
    <border>
      <left style="thin">
        <color indexed="8"/>
      </left>
      <right style="thin">
        <color indexed="8"/>
      </right>
      <top/>
      <bottom style="thin">
        <color auto="1"/>
      </bottom>
      <diagonal/>
    </border>
    <border>
      <left/>
      <right/>
      <top/>
      <bottom style="thin">
        <color indexed="8"/>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49" fillId="0" borderId="0" applyFont="0" applyFill="0" applyBorder="0" applyAlignment="0" applyProtection="0">
      <alignment vertical="center"/>
    </xf>
    <xf numFmtId="44" fontId="49" fillId="0" borderId="0" applyFont="0" applyFill="0" applyBorder="0" applyAlignment="0" applyProtection="0">
      <alignment vertical="center"/>
    </xf>
    <xf numFmtId="9" fontId="1" fillId="0" borderId="0">
      <alignment vertical="top"/>
      <protection locked="0"/>
    </xf>
    <xf numFmtId="41" fontId="49" fillId="0" borderId="0" applyFont="0" applyFill="0" applyBorder="0" applyAlignment="0" applyProtection="0">
      <alignment vertical="center"/>
    </xf>
    <xf numFmtId="42" fontId="49" fillId="0" borderId="0" applyFon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9" fillId="7" borderId="31" applyNumberFormat="0" applyFon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32" applyNumberFormat="0" applyFill="0" applyAlignment="0" applyProtection="0">
      <alignment vertical="center"/>
    </xf>
    <xf numFmtId="0" fontId="56" fillId="0" borderId="32" applyNumberFormat="0" applyFill="0" applyAlignment="0" applyProtection="0">
      <alignment vertical="center"/>
    </xf>
    <xf numFmtId="0" fontId="57" fillId="0" borderId="33" applyNumberFormat="0" applyFill="0" applyAlignment="0" applyProtection="0">
      <alignment vertical="center"/>
    </xf>
    <xf numFmtId="0" fontId="57" fillId="0" borderId="0" applyNumberFormat="0" applyFill="0" applyBorder="0" applyAlignment="0" applyProtection="0">
      <alignment vertical="center"/>
    </xf>
    <xf numFmtId="0" fontId="58" fillId="8" borderId="34" applyNumberFormat="0" applyAlignment="0" applyProtection="0">
      <alignment vertical="center"/>
    </xf>
    <xf numFmtId="0" fontId="59" fillId="9" borderId="35" applyNumberFormat="0" applyAlignment="0" applyProtection="0">
      <alignment vertical="center"/>
    </xf>
    <xf numFmtId="0" fontId="60" fillId="9" borderId="34" applyNumberFormat="0" applyAlignment="0" applyProtection="0">
      <alignment vertical="center"/>
    </xf>
    <xf numFmtId="0" fontId="61" fillId="10" borderId="36" applyNumberFormat="0" applyAlignment="0" applyProtection="0">
      <alignment vertical="center"/>
    </xf>
    <xf numFmtId="0" fontId="62" fillId="0" borderId="37" applyNumberFormat="0" applyFill="0" applyAlignment="0" applyProtection="0">
      <alignment vertical="center"/>
    </xf>
    <xf numFmtId="0" fontId="63" fillId="0" borderId="38" applyNumberFormat="0" applyFill="0" applyAlignment="0" applyProtection="0">
      <alignment vertical="center"/>
    </xf>
    <xf numFmtId="0" fontId="64" fillId="11" borderId="0" applyNumberFormat="0" applyBorder="0" applyAlignment="0" applyProtection="0">
      <alignment vertical="center"/>
    </xf>
    <xf numFmtId="0" fontId="65" fillId="12" borderId="0" applyNumberFormat="0" applyBorder="0" applyAlignment="0" applyProtection="0">
      <alignment vertical="center"/>
    </xf>
    <xf numFmtId="0" fontId="66" fillId="13" borderId="0" applyNumberFormat="0" applyBorder="0" applyAlignment="0" applyProtection="0">
      <alignment vertical="center"/>
    </xf>
    <xf numFmtId="0" fontId="67" fillId="14" borderId="0" applyNumberFormat="0" applyBorder="0" applyAlignment="0" applyProtection="0">
      <alignment vertical="center"/>
    </xf>
    <xf numFmtId="0" fontId="68" fillId="15" borderId="0" applyNumberFormat="0" applyBorder="0" applyAlignment="0" applyProtection="0">
      <alignment vertical="center"/>
    </xf>
    <xf numFmtId="0" fontId="68" fillId="16" borderId="0" applyNumberFormat="0" applyBorder="0" applyAlignment="0" applyProtection="0">
      <alignment vertical="center"/>
    </xf>
    <xf numFmtId="0" fontId="67" fillId="17" borderId="0" applyNumberFormat="0" applyBorder="0" applyAlignment="0" applyProtection="0">
      <alignment vertical="center"/>
    </xf>
    <xf numFmtId="0" fontId="67" fillId="18" borderId="0" applyNumberFormat="0" applyBorder="0" applyAlignment="0" applyProtection="0">
      <alignment vertical="center"/>
    </xf>
    <xf numFmtId="0" fontId="68" fillId="19" borderId="0" applyNumberFormat="0" applyBorder="0" applyAlignment="0" applyProtection="0">
      <alignment vertical="center"/>
    </xf>
    <xf numFmtId="0" fontId="68" fillId="20" borderId="0" applyNumberFormat="0" applyBorder="0" applyAlignment="0" applyProtection="0">
      <alignment vertical="center"/>
    </xf>
    <xf numFmtId="0" fontId="67" fillId="21" borderId="0" applyNumberFormat="0" applyBorder="0" applyAlignment="0" applyProtection="0">
      <alignment vertical="center"/>
    </xf>
    <xf numFmtId="0" fontId="67" fillId="22" borderId="0" applyNumberFormat="0" applyBorder="0" applyAlignment="0" applyProtection="0">
      <alignment vertical="center"/>
    </xf>
    <xf numFmtId="0" fontId="68" fillId="23" borderId="0" applyNumberFormat="0" applyBorder="0" applyAlignment="0" applyProtection="0">
      <alignment vertical="center"/>
    </xf>
    <xf numFmtId="0" fontId="68" fillId="24" borderId="0" applyNumberFormat="0" applyBorder="0" applyAlignment="0" applyProtection="0">
      <alignment vertical="center"/>
    </xf>
    <xf numFmtId="0" fontId="67" fillId="25" borderId="0" applyNumberFormat="0" applyBorder="0" applyAlignment="0" applyProtection="0">
      <alignment vertical="center"/>
    </xf>
    <xf numFmtId="0" fontId="67" fillId="26" borderId="0" applyNumberFormat="0" applyBorder="0" applyAlignment="0" applyProtection="0">
      <alignment vertical="center"/>
    </xf>
    <xf numFmtId="0" fontId="68" fillId="27" borderId="0" applyNumberFormat="0" applyBorder="0" applyAlignment="0" applyProtection="0">
      <alignment vertical="center"/>
    </xf>
    <xf numFmtId="0" fontId="68" fillId="28" borderId="0" applyNumberFormat="0" applyBorder="0" applyAlignment="0" applyProtection="0">
      <alignment vertical="center"/>
    </xf>
    <xf numFmtId="0" fontId="67" fillId="29" borderId="0" applyNumberFormat="0" applyBorder="0" applyAlignment="0" applyProtection="0">
      <alignment vertical="center"/>
    </xf>
    <xf numFmtId="0" fontId="67" fillId="30" borderId="0" applyNumberFormat="0" applyBorder="0" applyAlignment="0" applyProtection="0">
      <alignment vertical="center"/>
    </xf>
    <xf numFmtId="0" fontId="68" fillId="31" borderId="0" applyNumberFormat="0" applyBorder="0" applyAlignment="0" applyProtection="0">
      <alignment vertical="center"/>
    </xf>
    <xf numFmtId="0" fontId="68" fillId="32" borderId="0" applyNumberFormat="0" applyBorder="0" applyAlignment="0" applyProtection="0">
      <alignment vertical="center"/>
    </xf>
    <xf numFmtId="0" fontId="67" fillId="33" borderId="0" applyNumberFormat="0" applyBorder="0" applyAlignment="0" applyProtection="0">
      <alignment vertical="center"/>
    </xf>
    <xf numFmtId="0" fontId="67" fillId="34" borderId="0" applyNumberFormat="0" applyBorder="0" applyAlignment="0" applyProtection="0">
      <alignment vertical="center"/>
    </xf>
    <xf numFmtId="0" fontId="68" fillId="35"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0" borderId="0">
      <protection locked="0"/>
    </xf>
    <xf numFmtId="0" fontId="0" fillId="0" borderId="0">
      <protection locked="0"/>
    </xf>
    <xf numFmtId="0" fontId="0" fillId="0" borderId="0">
      <protection locked="0"/>
    </xf>
    <xf numFmtId="0" fontId="0" fillId="0" borderId="0">
      <protection locked="0"/>
    </xf>
    <xf numFmtId="0" fontId="1" fillId="0" borderId="0">
      <protection locked="0"/>
    </xf>
    <xf numFmtId="0" fontId="0" fillId="0" borderId="0">
      <protection locked="0"/>
    </xf>
    <xf numFmtId="0" fontId="0" fillId="0" borderId="0">
      <protection locked="0"/>
    </xf>
  </cellStyleXfs>
  <cellXfs count="517">
    <xf numFmtId="0" fontId="0" fillId="0" borderId="0" xfId="0">
      <alignment vertical="center"/>
    </xf>
    <xf numFmtId="0" fontId="0" fillId="0" borderId="0" xfId="53" applyFont="1" applyFill="1" applyAlignment="1" applyProtection="1"/>
    <xf numFmtId="0" fontId="1" fillId="0" borderId="0" xfId="53" applyAlignment="1" applyProtection="1"/>
    <xf numFmtId="49" fontId="2" fillId="2" borderId="0" xfId="53" applyNumberFormat="1" applyFont="1" applyFill="1" applyAlignment="1" applyProtection="1">
      <alignment horizontal="center" vertical="center"/>
    </xf>
    <xf numFmtId="0" fontId="2" fillId="2" borderId="0" xfId="53" applyFont="1" applyFill="1" applyAlignment="1" applyProtection="1">
      <alignment horizontal="center" vertical="center"/>
    </xf>
    <xf numFmtId="49" fontId="3" fillId="2" borderId="1" xfId="53" applyNumberFormat="1" applyFont="1" applyFill="1" applyBorder="1" applyAlignment="1" applyProtection="1">
      <alignment vertical="center"/>
    </xf>
    <xf numFmtId="49" fontId="3" fillId="2" borderId="1" xfId="53" applyNumberFormat="1" applyFont="1" applyFill="1" applyBorder="1" applyAlignment="1" applyProtection="1">
      <alignment horizontal="right" vertical="center"/>
    </xf>
    <xf numFmtId="49" fontId="4" fillId="2" borderId="1" xfId="53" applyNumberFormat="1" applyFont="1" applyFill="1" applyBorder="1" applyAlignment="1" applyProtection="1">
      <alignment horizontal="center" vertical="center"/>
    </xf>
    <xf numFmtId="49" fontId="5" fillId="2" borderId="2" xfId="53" applyNumberFormat="1" applyFont="1" applyFill="1" applyBorder="1" applyAlignment="1" applyProtection="1">
      <alignment horizontal="center" vertical="center"/>
    </xf>
    <xf numFmtId="49" fontId="3" fillId="2" borderId="3" xfId="53" applyNumberFormat="1" applyFont="1" applyFill="1" applyBorder="1" applyAlignment="1" applyProtection="1">
      <alignment vertical="center"/>
    </xf>
    <xf numFmtId="176" fontId="6" fillId="2" borderId="2" xfId="53" applyNumberFormat="1" applyFont="1" applyFill="1" applyBorder="1" applyAlignment="1" applyProtection="1">
      <alignment horizontal="right" vertical="center"/>
    </xf>
    <xf numFmtId="176" fontId="6" fillId="2" borderId="4" xfId="53" applyNumberFormat="1" applyFont="1" applyFill="1" applyBorder="1" applyAlignment="1" applyProtection="1">
      <alignment horizontal="right" vertical="center"/>
    </xf>
    <xf numFmtId="49" fontId="6" fillId="2" borderId="5" xfId="53" applyNumberFormat="1" applyFont="1" applyFill="1" applyBorder="1" applyAlignment="1" applyProtection="1">
      <alignment vertical="center"/>
    </xf>
    <xf numFmtId="177" fontId="6" fillId="2" borderId="2" xfId="53" applyNumberFormat="1" applyFont="1" applyFill="1" applyBorder="1" applyAlignment="1" applyProtection="1">
      <alignment horizontal="right" vertical="center"/>
    </xf>
    <xf numFmtId="49" fontId="3" fillId="2" borderId="6" xfId="53" applyNumberFormat="1" applyFont="1" applyFill="1" applyBorder="1" applyAlignment="1" applyProtection="1">
      <alignment vertical="center"/>
    </xf>
    <xf numFmtId="176" fontId="6" fillId="2" borderId="7" xfId="53" applyNumberFormat="1" applyFont="1" applyFill="1" applyBorder="1" applyAlignment="1" applyProtection="1">
      <alignment horizontal="right" vertical="center"/>
    </xf>
    <xf numFmtId="49" fontId="6" fillId="2" borderId="3" xfId="53" applyNumberFormat="1" applyFont="1" applyFill="1" applyBorder="1" applyAlignment="1" applyProtection="1">
      <alignment vertical="center"/>
    </xf>
    <xf numFmtId="177" fontId="6" fillId="2" borderId="8" xfId="53" applyNumberFormat="1" applyFont="1" applyFill="1" applyBorder="1" applyAlignment="1" applyProtection="1">
      <alignment horizontal="right" vertical="center"/>
    </xf>
    <xf numFmtId="176" fontId="6" fillId="2" borderId="9" xfId="53" applyNumberFormat="1" applyFont="1" applyFill="1" applyBorder="1" applyAlignment="1" applyProtection="1">
      <alignment horizontal="right" vertical="center"/>
    </xf>
    <xf numFmtId="176" fontId="6" fillId="2" borderId="6" xfId="53" applyNumberFormat="1" applyFont="1" applyFill="1" applyBorder="1" applyAlignment="1" applyProtection="1">
      <alignment horizontal="right" vertical="center"/>
    </xf>
    <xf numFmtId="49" fontId="6" fillId="2" borderId="10" xfId="53" applyNumberFormat="1" applyFont="1" applyFill="1" applyBorder="1" applyAlignment="1" applyProtection="1">
      <alignment horizontal="center" vertical="center"/>
    </xf>
    <xf numFmtId="49" fontId="6" fillId="2" borderId="7" xfId="53" applyNumberFormat="1" applyFont="1" applyFill="1" applyBorder="1" applyAlignment="1" applyProtection="1">
      <alignment horizontal="center" vertical="center"/>
    </xf>
    <xf numFmtId="49" fontId="3" fillId="2" borderId="6" xfId="53" applyNumberFormat="1" applyFont="1" applyFill="1" applyBorder="1" applyAlignment="1" applyProtection="1">
      <alignment horizontal="left" vertical="center"/>
    </xf>
    <xf numFmtId="176" fontId="6" fillId="2" borderId="10" xfId="53" applyNumberFormat="1" applyFont="1" applyFill="1" applyBorder="1" applyAlignment="1" applyProtection="1">
      <alignment horizontal="right" vertical="center"/>
    </xf>
    <xf numFmtId="176" fontId="6" fillId="2" borderId="8" xfId="53" applyNumberFormat="1" applyFont="1" applyFill="1" applyBorder="1" applyAlignment="1" applyProtection="1">
      <alignment horizontal="right" vertical="center"/>
    </xf>
    <xf numFmtId="49" fontId="6" fillId="2" borderId="11" xfId="53" applyNumberFormat="1" applyFont="1" applyFill="1" applyBorder="1" applyAlignment="1" applyProtection="1">
      <alignment horizontal="center" vertical="center"/>
    </xf>
    <xf numFmtId="49" fontId="3" fillId="2" borderId="12" xfId="53" applyNumberFormat="1" applyFont="1" applyFill="1" applyBorder="1" applyAlignment="1" applyProtection="1">
      <alignment vertical="center"/>
    </xf>
    <xf numFmtId="176" fontId="6" fillId="0" borderId="13" xfId="53" applyNumberFormat="1" applyFont="1" applyFill="1" applyBorder="1" applyAlignment="1" applyProtection="1">
      <alignment horizontal="right" vertical="center"/>
    </xf>
    <xf numFmtId="176" fontId="6" fillId="0" borderId="7" xfId="53" applyNumberFormat="1" applyFont="1" applyFill="1" applyBorder="1" applyAlignment="1" applyProtection="1">
      <alignment horizontal="right" vertical="center"/>
    </xf>
    <xf numFmtId="49" fontId="6" fillId="0" borderId="12" xfId="53" applyNumberFormat="1" applyFont="1" applyFill="1" applyBorder="1" applyAlignment="1" applyProtection="1">
      <alignment vertical="center"/>
    </xf>
    <xf numFmtId="177" fontId="6" fillId="0" borderId="13" xfId="53" applyNumberFormat="1" applyFont="1" applyFill="1" applyBorder="1" applyAlignment="1" applyProtection="1">
      <alignment horizontal="right" vertical="center"/>
    </xf>
    <xf numFmtId="176" fontId="6" fillId="0" borderId="2" xfId="53" applyNumberFormat="1" applyFont="1" applyFill="1" applyBorder="1" applyAlignment="1" applyProtection="1">
      <alignment horizontal="right" vertical="center"/>
    </xf>
    <xf numFmtId="49" fontId="6" fillId="0" borderId="6" xfId="53" applyNumberFormat="1" applyFont="1" applyFill="1" applyBorder="1" applyAlignment="1" applyProtection="1">
      <alignment vertical="center"/>
    </xf>
    <xf numFmtId="176" fontId="6" fillId="0" borderId="9" xfId="53" applyNumberFormat="1" applyFont="1" applyFill="1" applyBorder="1" applyAlignment="1" applyProtection="1">
      <alignment horizontal="right" vertical="center"/>
    </xf>
    <xf numFmtId="176" fontId="6" fillId="0" borderId="6" xfId="53" applyNumberFormat="1" applyFont="1" applyFill="1" applyBorder="1" applyAlignment="1" applyProtection="1">
      <alignment horizontal="right" vertical="center"/>
    </xf>
    <xf numFmtId="176" fontId="6" fillId="0" borderId="8" xfId="53" applyNumberFormat="1" applyFont="1" applyFill="1" applyBorder="1" applyAlignment="1" applyProtection="1">
      <alignment horizontal="right" vertical="center"/>
    </xf>
    <xf numFmtId="176" fontId="6" fillId="0" borderId="4" xfId="53" applyNumberFormat="1" applyFont="1" applyFill="1" applyBorder="1" applyAlignment="1" applyProtection="1">
      <alignment horizontal="right" vertical="center"/>
    </xf>
    <xf numFmtId="176" fontId="6" fillId="0" borderId="11" xfId="53" applyNumberFormat="1" applyFont="1" applyFill="1" applyBorder="1" applyAlignment="1" applyProtection="1">
      <alignment horizontal="right" vertical="center"/>
    </xf>
    <xf numFmtId="177" fontId="6" fillId="0" borderId="6" xfId="53" applyNumberFormat="1" applyFont="1" applyFill="1" applyBorder="1" applyAlignment="1" applyProtection="1">
      <alignment horizontal="right" vertical="center"/>
    </xf>
    <xf numFmtId="177" fontId="6" fillId="0" borderId="2" xfId="53" applyNumberFormat="1" applyFont="1" applyFill="1" applyBorder="1" applyAlignment="1" applyProtection="1">
      <alignment horizontal="right" vertical="center"/>
    </xf>
    <xf numFmtId="49" fontId="3" fillId="2" borderId="12" xfId="53" applyNumberFormat="1" applyFont="1" applyFill="1" applyBorder="1" applyAlignment="1" applyProtection="1">
      <alignment horizontal="center" vertical="center"/>
    </xf>
    <xf numFmtId="49" fontId="6" fillId="0" borderId="6" xfId="53" applyNumberFormat="1" applyFont="1" applyFill="1" applyBorder="1" applyAlignment="1" applyProtection="1">
      <alignment horizontal="center" vertical="center"/>
    </xf>
    <xf numFmtId="49" fontId="6" fillId="0" borderId="4" xfId="53" applyNumberFormat="1" applyFont="1" applyFill="1" applyBorder="1" applyAlignment="1" applyProtection="1">
      <alignment horizontal="center" vertical="center"/>
    </xf>
    <xf numFmtId="49" fontId="3" fillId="2" borderId="0" xfId="53" applyNumberFormat="1" applyFont="1" applyFill="1" applyAlignment="1" applyProtection="1">
      <alignment vertical="center"/>
    </xf>
    <xf numFmtId="0" fontId="3" fillId="2" borderId="0" xfId="53" applyFont="1" applyFill="1" applyAlignment="1" applyProtection="1">
      <alignment vertical="center"/>
    </xf>
    <xf numFmtId="0" fontId="3" fillId="2" borderId="14" xfId="53" applyFont="1" applyFill="1" applyBorder="1" applyAlignment="1" applyProtection="1">
      <alignment horizontal="right" vertical="center"/>
    </xf>
    <xf numFmtId="49" fontId="3" fillId="2" borderId="15" xfId="53" applyNumberFormat="1" applyFont="1" applyFill="1" applyBorder="1" applyAlignment="1" applyProtection="1">
      <alignment vertical="center"/>
    </xf>
    <xf numFmtId="176" fontId="6" fillId="2" borderId="15" xfId="53" applyNumberFormat="1" applyFont="1" applyFill="1" applyBorder="1" applyAlignment="1" applyProtection="1">
      <alignment horizontal="right" vertical="center"/>
    </xf>
    <xf numFmtId="49" fontId="6" fillId="2" borderId="15" xfId="53" applyNumberFormat="1" applyFont="1" applyFill="1" applyBorder="1" applyAlignment="1" applyProtection="1">
      <alignment vertical="center"/>
    </xf>
    <xf numFmtId="49" fontId="3" fillId="2" borderId="16" xfId="53" applyNumberFormat="1" applyFont="1" applyFill="1" applyBorder="1" applyAlignment="1" applyProtection="1">
      <alignment vertical="center"/>
    </xf>
    <xf numFmtId="176" fontId="6" fillId="2" borderId="16" xfId="53" applyNumberFormat="1" applyFont="1" applyFill="1" applyBorder="1" applyAlignment="1" applyProtection="1">
      <alignment horizontal="right" vertical="center"/>
    </xf>
    <xf numFmtId="49" fontId="3" fillId="2" borderId="17" xfId="53" applyNumberFormat="1" applyFont="1" applyFill="1" applyBorder="1" applyAlignment="1" applyProtection="1">
      <alignment vertical="center"/>
    </xf>
    <xf numFmtId="176" fontId="6" fillId="2" borderId="17" xfId="53" applyNumberFormat="1" applyFont="1" applyFill="1" applyBorder="1" applyAlignment="1" applyProtection="1">
      <alignment horizontal="right" vertical="center"/>
    </xf>
    <xf numFmtId="176" fontId="6" fillId="2" borderId="12" xfId="53" applyNumberFormat="1" applyFont="1" applyFill="1" applyBorder="1" applyAlignment="1" applyProtection="1">
      <alignment horizontal="right" vertical="center"/>
    </xf>
    <xf numFmtId="49" fontId="3" fillId="2" borderId="18" xfId="53" applyNumberFormat="1" applyFont="1" applyFill="1" applyBorder="1" applyAlignment="1" applyProtection="1">
      <alignment vertical="center"/>
    </xf>
    <xf numFmtId="176" fontId="6" fillId="2" borderId="18" xfId="53" applyNumberFormat="1" applyFont="1" applyFill="1" applyBorder="1" applyAlignment="1" applyProtection="1">
      <alignment horizontal="right" vertical="center"/>
    </xf>
    <xf numFmtId="49" fontId="6" fillId="2" borderId="2" xfId="53" applyNumberFormat="1" applyFont="1" applyFill="1" applyBorder="1" applyAlignment="1" applyProtection="1">
      <alignment horizontal="center" vertical="center"/>
    </xf>
    <xf numFmtId="49" fontId="6" fillId="2" borderId="8" xfId="53" applyNumberFormat="1" applyFont="1" applyFill="1" applyBorder="1" applyAlignment="1" applyProtection="1">
      <alignment horizontal="center" vertical="center"/>
    </xf>
    <xf numFmtId="176" fontId="6" fillId="0" borderId="12" xfId="53" applyNumberFormat="1" applyFont="1" applyFill="1" applyBorder="1" applyAlignment="1" applyProtection="1">
      <alignment horizontal="right" vertical="center"/>
    </xf>
    <xf numFmtId="49" fontId="6" fillId="0" borderId="19" xfId="53" applyNumberFormat="1" applyFont="1" applyFill="1" applyBorder="1" applyAlignment="1" applyProtection="1">
      <alignment vertical="center"/>
    </xf>
    <xf numFmtId="49" fontId="6" fillId="0" borderId="16" xfId="53" applyNumberFormat="1" applyFont="1" applyFill="1" applyBorder="1" applyAlignment="1" applyProtection="1">
      <alignment vertical="center"/>
    </xf>
    <xf numFmtId="176" fontId="6" fillId="0" borderId="18" xfId="53" applyNumberFormat="1" applyFont="1" applyFill="1" applyBorder="1" applyAlignment="1" applyProtection="1">
      <alignment horizontal="right" vertical="center"/>
    </xf>
    <xf numFmtId="49" fontId="6" fillId="0" borderId="15" xfId="53" applyNumberFormat="1" applyFont="1" applyFill="1" applyBorder="1" applyAlignment="1" applyProtection="1">
      <alignment vertical="center"/>
    </xf>
    <xf numFmtId="49" fontId="3" fillId="2" borderId="2" xfId="53" applyNumberFormat="1" applyFont="1" applyFill="1" applyBorder="1" applyAlignment="1" applyProtection="1">
      <alignment horizontal="center" vertical="center"/>
    </xf>
    <xf numFmtId="49" fontId="6" fillId="0" borderId="2" xfId="53" applyNumberFormat="1" applyFont="1" applyFill="1" applyBorder="1" applyAlignment="1" applyProtection="1">
      <alignment horizontal="center" vertical="center"/>
    </xf>
    <xf numFmtId="49" fontId="6" fillId="0" borderId="9" xfId="53" applyNumberFormat="1" applyFont="1" applyFill="1" applyBorder="1" applyAlignment="1" applyProtection="1">
      <alignment horizontal="center" vertical="center"/>
    </xf>
    <xf numFmtId="176" fontId="6" fillId="0" borderId="15" xfId="53" applyNumberFormat="1" applyFont="1" applyFill="1" applyBorder="1" applyAlignment="1" applyProtection="1">
      <alignment horizontal="right" vertical="center"/>
    </xf>
    <xf numFmtId="49" fontId="0" fillId="2" borderId="14" xfId="53" applyNumberFormat="1" applyFont="1" applyFill="1" applyBorder="1" applyAlignment="1" applyProtection="1"/>
    <xf numFmtId="0" fontId="3" fillId="2" borderId="14" xfId="53" applyFont="1" applyFill="1" applyBorder="1" applyAlignment="1" applyProtection="1">
      <alignment vertical="center"/>
    </xf>
    <xf numFmtId="0" fontId="3" fillId="2" borderId="0" xfId="53" applyFont="1" applyFill="1" applyAlignment="1" applyProtection="1">
      <alignment horizontal="right" vertical="center"/>
    </xf>
    <xf numFmtId="49" fontId="3" fillId="2" borderId="20" xfId="53" applyNumberFormat="1" applyFont="1" applyFill="1" applyBorder="1" applyAlignment="1" applyProtection="1">
      <alignment vertical="center"/>
    </xf>
    <xf numFmtId="49" fontId="0" fillId="2" borderId="1" xfId="53" applyNumberFormat="1" applyFont="1" applyFill="1" applyBorder="1" applyAlignment="1" applyProtection="1"/>
    <xf numFmtId="49" fontId="4" fillId="2" borderId="20" xfId="53" applyNumberFormat="1" applyFont="1" applyFill="1" applyBorder="1" applyAlignment="1" applyProtection="1">
      <alignment horizontal="center" vertical="center"/>
    </xf>
    <xf numFmtId="49" fontId="5" fillId="2" borderId="12" xfId="53" applyNumberFormat="1" applyFont="1" applyFill="1" applyBorder="1" applyAlignment="1" applyProtection="1">
      <alignment horizontal="center" vertical="center"/>
    </xf>
    <xf numFmtId="49" fontId="5" fillId="2" borderId="6" xfId="53" applyNumberFormat="1" applyFont="1" applyFill="1" applyBorder="1" applyAlignment="1" applyProtection="1">
      <alignment horizontal="center" vertical="center" wrapText="1"/>
    </xf>
    <xf numFmtId="49" fontId="5" fillId="2" borderId="2" xfId="53" applyNumberFormat="1" applyFont="1" applyFill="1" applyBorder="1" applyAlignment="1" applyProtection="1">
      <alignment horizontal="center" vertical="center" wrapText="1"/>
    </xf>
    <xf numFmtId="49" fontId="5" fillId="2" borderId="7" xfId="53" applyNumberFormat="1" applyFont="1" applyFill="1" applyBorder="1" applyAlignment="1" applyProtection="1">
      <alignment horizontal="center" vertical="center" wrapText="1"/>
    </xf>
    <xf numFmtId="49" fontId="3" fillId="2" borderId="17" xfId="53" applyNumberFormat="1" applyFont="1" applyFill="1" applyBorder="1" applyAlignment="1" applyProtection="1">
      <alignment horizontal="left" vertical="center"/>
    </xf>
    <xf numFmtId="176" fontId="6" fillId="0" borderId="16" xfId="53" applyNumberFormat="1" applyFont="1" applyFill="1" applyBorder="1" applyAlignment="1" applyProtection="1">
      <alignment horizontal="right" vertical="center"/>
    </xf>
    <xf numFmtId="49" fontId="3" fillId="2" borderId="12" xfId="53" applyNumberFormat="1" applyFont="1" applyFill="1" applyBorder="1" applyAlignment="1" applyProtection="1">
      <alignment horizontal="left" vertical="center"/>
    </xf>
    <xf numFmtId="49" fontId="6" fillId="0" borderId="12" xfId="53" applyNumberFormat="1" applyFont="1" applyFill="1" applyBorder="1" applyAlignment="1" applyProtection="1">
      <alignment horizontal="center" vertical="center"/>
    </xf>
    <xf numFmtId="49" fontId="0" fillId="2" borderId="0" xfId="53" applyNumberFormat="1" applyFont="1" applyFill="1" applyAlignment="1" applyProtection="1"/>
    <xf numFmtId="0" fontId="0" fillId="2" borderId="0" xfId="53" applyFont="1" applyFill="1" applyAlignment="1" applyProtection="1"/>
    <xf numFmtId="0" fontId="7" fillId="0" borderId="0" xfId="55" applyFont="1" applyAlignment="1" applyProtection="1">
      <alignment horizontal="center"/>
    </xf>
    <xf numFmtId="0" fontId="0" fillId="0" borderId="0" xfId="55" applyFont="1" applyAlignment="1">
      <alignment horizontal="left" indent="1"/>
      <protection locked="0"/>
    </xf>
    <xf numFmtId="0" fontId="8" fillId="0" borderId="0" xfId="55" applyFont="1" applyAlignment="1">
      <protection locked="0"/>
    </xf>
    <xf numFmtId="0" fontId="0" fillId="0" borderId="0" xfId="55" applyAlignment="1">
      <protection locked="0"/>
    </xf>
    <xf numFmtId="0" fontId="9" fillId="0" borderId="0" xfId="55" applyFont="1" applyAlignment="1">
      <alignment horizontal="center"/>
      <protection locked="0"/>
    </xf>
    <xf numFmtId="0" fontId="10" fillId="0" borderId="2" xfId="55" applyFont="1" applyBorder="1" applyAlignment="1">
      <alignment horizontal="center"/>
      <protection locked="0"/>
    </xf>
    <xf numFmtId="0" fontId="0" fillId="0" borderId="2" xfId="0" applyBorder="1">
      <alignment vertical="center"/>
    </xf>
    <xf numFmtId="0" fontId="11" fillId="0" borderId="2" xfId="55" applyFont="1" applyBorder="1" applyAlignment="1">
      <alignment horizontal="center" vertical="center"/>
      <protection locked="0"/>
    </xf>
    <xf numFmtId="0" fontId="11" fillId="0" borderId="2" xfId="55" applyFont="1" applyBorder="1" applyAlignment="1">
      <alignment horizontal="center" vertical="center" wrapText="1"/>
      <protection locked="0"/>
    </xf>
    <xf numFmtId="0" fontId="11" fillId="0" borderId="21" xfId="55" applyFont="1" applyBorder="1" applyAlignment="1">
      <alignment horizontal="center" vertical="center" wrapText="1"/>
      <protection locked="0"/>
    </xf>
    <xf numFmtId="0" fontId="12" fillId="0" borderId="2" xfId="55" applyFont="1" applyBorder="1" applyAlignment="1">
      <protection locked="0"/>
    </xf>
    <xf numFmtId="0" fontId="13" fillId="0" borderId="2" xfId="55" applyFont="1" applyBorder="1" applyAlignment="1">
      <protection locked="0"/>
    </xf>
    <xf numFmtId="178" fontId="13" fillId="0" borderId="2" xfId="55" applyNumberFormat="1" applyFont="1" applyBorder="1" applyAlignment="1">
      <protection locked="0"/>
    </xf>
    <xf numFmtId="0" fontId="0" fillId="0" borderId="2" xfId="55" applyFont="1" applyBorder="1" applyAlignment="1">
      <alignment horizontal="left"/>
      <protection locked="0"/>
    </xf>
    <xf numFmtId="0" fontId="14" fillId="0" borderId="2" xfId="55" applyFont="1" applyBorder="1" applyAlignment="1">
      <alignment horizontal="left"/>
      <protection locked="0"/>
    </xf>
    <xf numFmtId="0" fontId="14" fillId="0" borderId="2" xfId="55" applyFont="1" applyBorder="1" applyAlignment="1">
      <alignment horizontal="right"/>
      <protection locked="0"/>
    </xf>
    <xf numFmtId="0" fontId="14" fillId="0" borderId="2" xfId="0" applyFont="1" applyBorder="1">
      <alignment vertical="center"/>
    </xf>
    <xf numFmtId="178" fontId="14" fillId="0" borderId="2" xfId="0" applyNumberFormat="1" applyFont="1" applyBorder="1">
      <alignment vertical="center"/>
    </xf>
    <xf numFmtId="0" fontId="12" fillId="0" borderId="2" xfId="55" applyFont="1" applyFill="1" applyBorder="1" applyAlignment="1">
      <protection locked="0"/>
    </xf>
    <xf numFmtId="0" fontId="13" fillId="0" borderId="2" xfId="55" applyFont="1" applyFill="1" applyBorder="1" applyAlignment="1">
      <protection locked="0"/>
    </xf>
    <xf numFmtId="0" fontId="12" fillId="0" borderId="2" xfId="55" applyFont="1" applyBorder="1" applyAlignment="1">
      <alignment horizontal="center"/>
      <protection locked="0"/>
    </xf>
    <xf numFmtId="0" fontId="13" fillId="0" borderId="2" xfId="55" applyFont="1" applyBorder="1" applyAlignment="1">
      <alignment horizontal="right"/>
      <protection locked="0"/>
    </xf>
    <xf numFmtId="0" fontId="15" fillId="0" borderId="2" xfId="55" applyFont="1" applyBorder="1" applyAlignment="1">
      <alignment horizontal="center"/>
      <protection locked="0"/>
    </xf>
    <xf numFmtId="31" fontId="0" fillId="0" borderId="1" xfId="55" applyNumberFormat="1" applyFont="1" applyBorder="1" applyAlignment="1">
      <alignment horizontal="center"/>
      <protection locked="0"/>
    </xf>
    <xf numFmtId="0" fontId="9" fillId="0" borderId="1" xfId="55" applyFont="1" applyBorder="1" applyAlignment="1">
      <alignment horizontal="center"/>
      <protection locked="0"/>
    </xf>
    <xf numFmtId="0" fontId="10" fillId="0" borderId="22" xfId="55" applyFont="1" applyBorder="1" applyAlignment="1">
      <alignment horizontal="center"/>
      <protection locked="0"/>
    </xf>
    <xf numFmtId="0" fontId="10" fillId="0" borderId="23" xfId="55" applyFont="1" applyBorder="1" applyAlignment="1">
      <alignment horizontal="center"/>
      <protection locked="0"/>
    </xf>
    <xf numFmtId="0" fontId="10" fillId="0" borderId="24" xfId="55" applyFont="1" applyBorder="1" applyAlignment="1">
      <alignment horizontal="center"/>
      <protection locked="0"/>
    </xf>
    <xf numFmtId="0" fontId="11" fillId="0" borderId="21" xfId="55" applyFont="1" applyBorder="1" applyAlignment="1">
      <alignment horizontal="center" vertical="center"/>
      <protection locked="0"/>
    </xf>
    <xf numFmtId="179" fontId="11" fillId="0" borderId="2" xfId="55" applyNumberFormat="1" applyFont="1" applyBorder="1" applyAlignment="1">
      <alignment horizontal="center" vertical="center" wrapText="1"/>
      <protection locked="0"/>
    </xf>
    <xf numFmtId="3" fontId="13" fillId="3" borderId="2" xfId="0" applyNumberFormat="1" applyFont="1" applyFill="1" applyBorder="1">
      <alignment vertical="center"/>
    </xf>
    <xf numFmtId="0" fontId="13" fillId="0" borderId="2" xfId="55" applyFont="1" applyBorder="1" applyAlignment="1">
      <alignment vertical="center"/>
      <protection locked="0"/>
    </xf>
    <xf numFmtId="0" fontId="14" fillId="0" borderId="2" xfId="55" applyFont="1" applyBorder="1" applyAlignment="1">
      <alignment vertical="center"/>
      <protection locked="0"/>
    </xf>
    <xf numFmtId="179" fontId="14" fillId="0" borderId="2" xfId="55" applyNumberFormat="1" applyFont="1" applyBorder="1" applyAlignment="1">
      <alignment vertical="center"/>
      <protection locked="0"/>
    </xf>
    <xf numFmtId="0" fontId="12" fillId="0" borderId="2" xfId="55" applyFont="1" applyBorder="1" applyAlignment="1">
      <alignment vertical="center"/>
      <protection locked="0"/>
    </xf>
    <xf numFmtId="0" fontId="14" fillId="0" borderId="0" xfId="55" applyFont="1" applyAlignment="1">
      <alignment horizontal="right" vertical="center"/>
      <protection locked="0"/>
    </xf>
    <xf numFmtId="0" fontId="14" fillId="0" borderId="2" xfId="55" applyFont="1" applyBorder="1" applyAlignment="1">
      <alignment horizontal="right" vertical="center"/>
      <protection locked="0"/>
    </xf>
    <xf numFmtId="179" fontId="14" fillId="0" borderId="2" xfId="0" applyNumberFormat="1" applyFont="1" applyBorder="1">
      <alignment vertical="center"/>
    </xf>
    <xf numFmtId="3" fontId="12" fillId="3" borderId="2" xfId="0" applyNumberFormat="1" applyFont="1" applyFill="1" applyBorder="1">
      <alignment vertical="center"/>
    </xf>
    <xf numFmtId="0" fontId="12" fillId="0" borderId="25" xfId="55" applyFont="1" applyFill="1" applyBorder="1" applyAlignment="1">
      <alignment vertical="center"/>
      <protection locked="0"/>
    </xf>
    <xf numFmtId="0" fontId="13" fillId="0" borderId="25" xfId="55" applyFont="1" applyFill="1" applyBorder="1" applyAlignment="1">
      <alignment vertical="center"/>
      <protection locked="0"/>
    </xf>
    <xf numFmtId="3" fontId="16" fillId="3" borderId="2" xfId="0" applyNumberFormat="1" applyFont="1" applyFill="1" applyBorder="1">
      <alignment vertical="center"/>
    </xf>
    <xf numFmtId="0" fontId="13" fillId="0" borderId="2" xfId="55" applyFont="1" applyFill="1" applyBorder="1" applyAlignment="1">
      <alignment vertical="center"/>
      <protection locked="0"/>
    </xf>
    <xf numFmtId="179" fontId="13" fillId="0" borderId="2" xfId="0" applyNumberFormat="1" applyFont="1" applyBorder="1">
      <alignment vertical="center"/>
    </xf>
    <xf numFmtId="0" fontId="12" fillId="0" borderId="2" xfId="0" applyFont="1" applyBorder="1">
      <alignment vertical="center"/>
    </xf>
    <xf numFmtId="0" fontId="13" fillId="0" borderId="2" xfId="0" applyFont="1" applyBorder="1">
      <alignment vertical="center"/>
    </xf>
    <xf numFmtId="0" fontId="12" fillId="0" borderId="2" xfId="55" applyFont="1" applyBorder="1" applyAlignment="1">
      <alignment horizontal="center" vertical="center"/>
      <protection locked="0"/>
    </xf>
    <xf numFmtId="3" fontId="17" fillId="3" borderId="2" xfId="0" applyNumberFormat="1" applyFont="1" applyFill="1" applyBorder="1">
      <alignment vertical="center"/>
    </xf>
    <xf numFmtId="0" fontId="16" fillId="0" borderId="2" xfId="0" applyFont="1" applyFill="1" applyBorder="1" applyAlignment="1">
      <alignment horizontal="right" vertical="center"/>
    </xf>
    <xf numFmtId="3" fontId="13" fillId="0" borderId="2" xfId="0" applyNumberFormat="1" applyFont="1" applyFill="1" applyBorder="1">
      <alignment vertical="center"/>
    </xf>
    <xf numFmtId="0" fontId="12" fillId="0" borderId="2" xfId="55" applyFont="1" applyBorder="1" applyAlignment="1">
      <alignment horizontal="left" vertical="center"/>
      <protection locked="0"/>
    </xf>
    <xf numFmtId="0" fontId="12" fillId="0" borderId="2" xfId="55" applyFont="1" applyFill="1" applyBorder="1" applyAlignment="1">
      <alignment vertical="center"/>
      <protection locked="0"/>
    </xf>
    <xf numFmtId="0" fontId="13" fillId="0" borderId="2" xfId="55" applyFont="1" applyBorder="1" applyAlignment="1">
      <alignment horizontal="right" vertical="center"/>
      <protection locked="0"/>
    </xf>
    <xf numFmtId="0" fontId="15" fillId="0" borderId="2" xfId="55" applyFont="1" applyBorder="1" applyAlignment="1">
      <alignment horizontal="center" vertical="center"/>
      <protection locked="0"/>
    </xf>
    <xf numFmtId="0" fontId="7" fillId="0" borderId="0" xfId="0" applyFont="1" applyAlignment="1" applyProtection="1">
      <alignment horizontal="center" vertical="center"/>
      <protection locked="0"/>
    </xf>
    <xf numFmtId="0" fontId="0" fillId="0" borderId="0" xfId="0" applyProtection="1">
      <alignment vertical="center"/>
      <protection locked="0"/>
    </xf>
    <xf numFmtId="0" fontId="18" fillId="0" borderId="1"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5" fillId="0" borderId="2" xfId="0" applyFont="1" applyFill="1" applyBorder="1" applyAlignment="1" applyProtection="1">
      <alignment horizontal="center" vertical="center"/>
      <protection locked="0"/>
    </xf>
    <xf numFmtId="0" fontId="0" fillId="0" borderId="2" xfId="0" applyFont="1" applyFill="1" applyBorder="1" applyAlignment="1" applyProtection="1">
      <alignment horizontal="left" vertical="center" wrapText="1"/>
      <protection locked="0"/>
    </xf>
    <xf numFmtId="0" fontId="14" fillId="0" borderId="2" xfId="0" applyNumberFormat="1" applyFont="1" applyFill="1" applyBorder="1" applyAlignment="1">
      <alignment horizontal="center" vertical="center"/>
    </xf>
    <xf numFmtId="0" fontId="0" fillId="0" borderId="2" xfId="0" applyFont="1" applyFill="1" applyBorder="1" applyProtection="1">
      <alignment vertical="center"/>
      <protection locked="0"/>
    </xf>
    <xf numFmtId="0" fontId="14" fillId="0" borderId="2" xfId="0" applyNumberFormat="1" applyFont="1" applyFill="1" applyBorder="1" applyAlignment="1" applyProtection="1">
      <alignment horizontal="center" vertical="center"/>
      <protection locked="0"/>
    </xf>
    <xf numFmtId="180" fontId="0" fillId="0" borderId="2" xfId="0" applyNumberFormat="1" applyFont="1" applyFill="1" applyBorder="1" applyAlignment="1" applyProtection="1">
      <alignment horizontal="left" vertical="center" wrapText="1"/>
      <protection locked="0"/>
    </xf>
    <xf numFmtId="0" fontId="14" fillId="0" borderId="2" xfId="0" applyNumberFormat="1" applyFont="1" applyFill="1" applyBorder="1" applyAlignment="1">
      <alignment horizontal="center" vertical="center" wrapText="1"/>
    </xf>
    <xf numFmtId="0" fontId="0" fillId="0" borderId="2" xfId="0" applyFont="1" applyBorder="1" applyProtection="1">
      <alignment vertical="center"/>
      <protection locked="0"/>
    </xf>
    <xf numFmtId="0" fontId="0" fillId="0" borderId="2" xfId="0" applyFont="1" applyFill="1" applyBorder="1" applyAlignment="1" applyProtection="1">
      <alignment horizontal="center" vertical="center"/>
      <protection locked="0"/>
    </xf>
    <xf numFmtId="0" fontId="20" fillId="0" borderId="0" xfId="0" applyFont="1" applyFill="1" applyBorder="1" applyProtection="1">
      <alignment vertical="center"/>
      <protection locked="0"/>
    </xf>
    <xf numFmtId="0" fontId="20" fillId="0" borderId="0" xfId="0" applyNumberFormat="1" applyFont="1" applyFill="1" applyBorder="1" applyAlignment="1">
      <alignment horizontal="center" vertical="center"/>
    </xf>
    <xf numFmtId="0" fontId="11" fillId="0" borderId="0" xfId="0" applyFont="1">
      <alignment vertical="center"/>
    </xf>
    <xf numFmtId="0" fontId="0" fillId="0" borderId="0" xfId="0" applyFont="1">
      <alignment vertical="center"/>
    </xf>
    <xf numFmtId="0" fontId="12" fillId="0" borderId="0" xfId="0" applyFont="1">
      <alignment vertical="center"/>
    </xf>
    <xf numFmtId="0" fontId="14" fillId="0" borderId="0" xfId="0" applyFont="1">
      <alignment vertical="center"/>
    </xf>
    <xf numFmtId="0" fontId="0" fillId="0" borderId="0" xfId="0" applyAlignment="1">
      <alignment vertical="center" wrapText="1"/>
    </xf>
    <xf numFmtId="0" fontId="21" fillId="0" borderId="0" xfId="0" applyFont="1">
      <alignment vertical="center"/>
    </xf>
    <xf numFmtId="0" fontId="7" fillId="0" borderId="0" xfId="0" applyFont="1" applyAlignment="1">
      <alignment horizontal="center" vertical="center"/>
    </xf>
    <xf numFmtId="31" fontId="12" fillId="0" borderId="0" xfId="0" applyNumberFormat="1" applyFont="1" applyAlignment="1">
      <alignment horizontal="left" vertical="center" indent="1"/>
    </xf>
    <xf numFmtId="0" fontId="22" fillId="0" borderId="0" xfId="0" applyFont="1" applyFill="1" applyAlignment="1">
      <alignment horizontal="center" vertical="center" wrapText="1"/>
    </xf>
    <xf numFmtId="0" fontId="15" fillId="0" borderId="2" xfId="0" applyFont="1" applyBorder="1" applyAlignment="1">
      <alignment horizontal="center" vertical="center"/>
    </xf>
    <xf numFmtId="0" fontId="15" fillId="0" borderId="2" xfId="51" applyFont="1" applyBorder="1" applyAlignment="1" applyProtection="1">
      <alignment horizontal="center" vertical="center" wrapText="1"/>
    </xf>
    <xf numFmtId="0" fontId="21" fillId="0" borderId="0" xfId="0" applyFont="1" applyAlignment="1">
      <alignment vertical="center" wrapText="1"/>
    </xf>
    <xf numFmtId="0" fontId="23" fillId="0" borderId="2" xfId="0" applyFont="1" applyBorder="1" applyAlignment="1">
      <alignment horizontal="center" vertical="center"/>
    </xf>
    <xf numFmtId="178" fontId="24" fillId="0" borderId="2" xfId="51" applyNumberFormat="1" applyFont="1" applyFill="1" applyBorder="1" applyAlignment="1" applyProtection="1">
      <alignment horizontal="right" vertical="center" wrapText="1"/>
    </xf>
    <xf numFmtId="178" fontId="13" fillId="0" borderId="2" xfId="51" applyNumberFormat="1" applyFont="1" applyFill="1" applyBorder="1" applyAlignment="1" applyProtection="1">
      <alignment horizontal="right" vertical="center" wrapText="1"/>
    </xf>
    <xf numFmtId="0" fontId="23" fillId="0" borderId="2" xfId="51" applyFont="1" applyBorder="1" applyAlignment="1" applyProtection="1">
      <alignment vertical="center" wrapText="1"/>
    </xf>
    <xf numFmtId="0" fontId="25" fillId="0" borderId="0" xfId="0" applyFont="1">
      <alignment vertical="center"/>
    </xf>
    <xf numFmtId="0" fontId="23" fillId="0" borderId="2" xfId="0" applyFont="1" applyBorder="1" applyProtection="1">
      <alignment vertical="center"/>
      <protection locked="0"/>
    </xf>
    <xf numFmtId="0" fontId="8" fillId="0" borderId="2" xfId="0" applyFont="1" applyBorder="1">
      <alignment vertical="center"/>
    </xf>
    <xf numFmtId="0" fontId="23" fillId="0" borderId="2" xfId="0" applyFont="1" applyBorder="1" applyAlignment="1">
      <alignment vertical="center" wrapText="1"/>
    </xf>
    <xf numFmtId="0" fontId="12" fillId="0" borderId="2" xfId="0" applyFont="1" applyBorder="1" applyAlignment="1" applyProtection="1">
      <alignment horizontal="left" vertical="center" indent="1"/>
      <protection locked="0"/>
    </xf>
    <xf numFmtId="0" fontId="17" fillId="0" borderId="2" xfId="0" applyFont="1" applyBorder="1" applyAlignment="1">
      <alignment vertical="center" wrapText="1"/>
    </xf>
    <xf numFmtId="0" fontId="17" fillId="0" borderId="26" xfId="0" applyFont="1" applyBorder="1" applyAlignment="1">
      <alignment horizontal="center" vertical="center" wrapText="1"/>
    </xf>
    <xf numFmtId="0" fontId="17" fillId="0" borderId="0" xfId="0" applyFont="1" applyAlignment="1">
      <alignment horizontal="center" vertical="center" wrapText="1"/>
    </xf>
    <xf numFmtId="0" fontId="17" fillId="0" borderId="2" xfId="0" applyFont="1" applyBorder="1" applyAlignment="1" applyProtection="1">
      <alignment horizontal="left" vertical="center" indent="1"/>
      <protection locked="0"/>
    </xf>
    <xf numFmtId="0" fontId="26" fillId="0" borderId="2" xfId="0" applyFont="1" applyBorder="1" applyAlignment="1" applyProtection="1">
      <alignment horizontal="left" vertical="center" wrapText="1" indent="1"/>
      <protection locked="0"/>
    </xf>
    <xf numFmtId="0" fontId="17" fillId="0" borderId="0" xfId="0" applyFont="1" applyBorder="1" applyAlignment="1">
      <alignment horizontal="center" vertical="center" wrapText="1"/>
    </xf>
    <xf numFmtId="0" fontId="12" fillId="0" borderId="2" xfId="0" applyFont="1" applyBorder="1" applyAlignment="1">
      <alignment vertical="center" wrapText="1"/>
    </xf>
    <xf numFmtId="0" fontId="17" fillId="0" borderId="24" xfId="0" applyFont="1" applyFill="1" applyBorder="1" applyAlignment="1">
      <alignment vertical="center" wrapText="1"/>
    </xf>
    <xf numFmtId="0" fontId="26" fillId="0" borderId="2" xfId="0" applyFont="1" applyBorder="1" applyProtection="1">
      <alignment vertical="center"/>
      <protection locked="0"/>
    </xf>
    <xf numFmtId="0" fontId="12" fillId="0" borderId="2" xfId="0" applyFont="1" applyBorder="1" applyAlignment="1" applyProtection="1">
      <alignment horizontal="left" vertical="center" indent="2"/>
      <protection locked="0"/>
    </xf>
    <xf numFmtId="0" fontId="12" fillId="0" borderId="2" xfId="0" applyFont="1" applyFill="1" applyBorder="1" applyAlignment="1" applyProtection="1">
      <alignment horizontal="left" vertical="center" indent="1"/>
      <protection locked="0"/>
    </xf>
    <xf numFmtId="0" fontId="14" fillId="0" borderId="2" xfId="0" applyFont="1" applyFill="1" applyBorder="1">
      <alignment vertical="center"/>
    </xf>
    <xf numFmtId="0" fontId="17" fillId="0" borderId="2" xfId="0" applyFont="1" applyFill="1" applyBorder="1" applyAlignment="1">
      <alignment vertical="center" wrapText="1"/>
    </xf>
    <xf numFmtId="0" fontId="12" fillId="0" borderId="2" xfId="0" applyFont="1" applyFill="1" applyBorder="1" applyAlignment="1">
      <alignment vertical="center" wrapText="1"/>
    </xf>
    <xf numFmtId="0" fontId="12" fillId="0" borderId="2" xfId="0" applyFont="1" applyBorder="1" applyProtection="1">
      <alignment vertical="center"/>
      <protection locked="0"/>
    </xf>
    <xf numFmtId="0" fontId="17" fillId="0" borderId="2" xfId="0" applyFont="1" applyBorder="1" applyAlignment="1" applyProtection="1">
      <alignment horizontal="left" vertical="center" wrapText="1" indent="2"/>
      <protection locked="0"/>
    </xf>
    <xf numFmtId="0" fontId="14" fillId="0" borderId="2" xfId="0" applyFont="1" applyBorder="1" applyAlignment="1">
      <alignment horizontal="right" vertical="center"/>
    </xf>
    <xf numFmtId="0" fontId="14" fillId="0" borderId="2" xfId="0" applyNumberFormat="1" applyFont="1" applyBorder="1" applyAlignment="1">
      <alignment horizontal="right" vertical="center"/>
    </xf>
    <xf numFmtId="0" fontId="12" fillId="0" borderId="0" xfId="0" applyFont="1" applyAlignment="1">
      <alignment vertical="center" wrapText="1"/>
    </xf>
    <xf numFmtId="0" fontId="0" fillId="0" borderId="0" xfId="0" applyFont="1" applyAlignment="1">
      <alignment vertical="center" wrapText="1"/>
    </xf>
    <xf numFmtId="0" fontId="8" fillId="0" borderId="2" xfId="0" applyFont="1" applyBorder="1" applyAlignment="1">
      <alignment horizontal="right" vertical="center"/>
    </xf>
    <xf numFmtId="0" fontId="0" fillId="0" borderId="0" xfId="0" applyAlignment="1">
      <alignment horizontal="left" vertical="center" wrapText="1"/>
    </xf>
    <xf numFmtId="181" fontId="12" fillId="0" borderId="2" xfId="0" applyNumberFormat="1" applyFont="1" applyFill="1" applyBorder="1" applyProtection="1">
      <alignment vertical="center"/>
      <protection locked="0"/>
    </xf>
    <xf numFmtId="181" fontId="13" fillId="0" borderId="2" xfId="0" applyNumberFormat="1" applyFont="1" applyFill="1" applyBorder="1" applyProtection="1">
      <alignment vertical="center"/>
      <protection locked="0"/>
    </xf>
    <xf numFmtId="181" fontId="12" fillId="0" borderId="2" xfId="0" applyNumberFormat="1" applyFont="1" applyFill="1" applyBorder="1" applyAlignment="1" applyProtection="1">
      <alignment horizontal="left" vertical="center" indent="1"/>
      <protection locked="0"/>
    </xf>
    <xf numFmtId="0" fontId="26" fillId="0" borderId="2" xfId="0" applyFont="1" applyBorder="1" applyAlignment="1" applyProtection="1">
      <alignment horizontal="left" vertical="center" indent="1"/>
      <protection locked="0"/>
    </xf>
    <xf numFmtId="0" fontId="23" fillId="0" borderId="2" xfId="0" applyFont="1" applyFill="1" applyBorder="1" applyProtection="1">
      <alignment vertical="center"/>
      <protection locked="0"/>
    </xf>
    <xf numFmtId="0" fontId="8" fillId="0" borderId="2" xfId="0" applyFont="1" applyFill="1" applyBorder="1">
      <alignment vertical="center"/>
    </xf>
    <xf numFmtId="0" fontId="23" fillId="0" borderId="2" xfId="0" applyFont="1" applyFill="1" applyBorder="1" applyAlignment="1">
      <alignment vertical="center" wrapText="1"/>
    </xf>
    <xf numFmtId="0" fontId="12" fillId="0" borderId="2" xfId="0" applyFont="1" applyFill="1" applyBorder="1" applyProtection="1">
      <alignment vertical="center"/>
      <protection locked="0"/>
    </xf>
    <xf numFmtId="0" fontId="17" fillId="0" borderId="2" xfId="0" applyFont="1" applyFill="1" applyBorder="1" applyAlignment="1" applyProtection="1">
      <alignment horizontal="left" vertical="center" wrapText="1" indent="1"/>
      <protection locked="0"/>
    </xf>
    <xf numFmtId="0" fontId="12" fillId="0" borderId="2" xfId="0" applyFont="1" applyFill="1" applyBorder="1" applyAlignment="1" applyProtection="1">
      <alignment horizontal="left" vertical="center" wrapText="1" indent="1"/>
      <protection locked="0"/>
    </xf>
    <xf numFmtId="0" fontId="17" fillId="0" borderId="2" xfId="0" applyFont="1" applyFill="1" applyBorder="1" applyAlignment="1" applyProtection="1">
      <alignment horizontal="left" vertical="center" indent="1"/>
      <protection locked="0"/>
    </xf>
    <xf numFmtId="0" fontId="12" fillId="0" borderId="2" xfId="0" applyFont="1" applyFill="1" applyBorder="1" applyAlignment="1" applyProtection="1">
      <alignment horizontal="left" vertical="center" indent="2"/>
      <protection locked="0"/>
    </xf>
    <xf numFmtId="0" fontId="12" fillId="0" borderId="2" xfId="0" applyFont="1" applyFill="1" applyBorder="1" applyAlignment="1" applyProtection="1">
      <alignment horizontal="left" vertical="center" wrapText="1" indent="2"/>
      <protection locked="0"/>
    </xf>
    <xf numFmtId="9" fontId="13" fillId="0" borderId="2" xfId="3" applyFont="1" applyFill="1" applyBorder="1" applyAlignment="1" applyProtection="1">
      <alignment horizontal="right" vertical="center" wrapText="1"/>
    </xf>
    <xf numFmtId="0" fontId="1" fillId="0" borderId="0" xfId="0" applyFont="1" applyFill="1" applyBorder="1" applyAlignment="1">
      <alignment vertical="center" wrapText="1"/>
    </xf>
    <xf numFmtId="0" fontId="1" fillId="0" borderId="0" xfId="0" applyFont="1" applyFill="1" applyAlignment="1">
      <alignment vertical="center" wrapText="1"/>
    </xf>
    <xf numFmtId="0" fontId="17" fillId="0" borderId="2" xfId="0" applyFont="1" applyFill="1" applyBorder="1" applyAlignment="1">
      <alignment horizontal="justify" vertical="center"/>
    </xf>
    <xf numFmtId="0" fontId="27" fillId="0" borderId="2" xfId="0" applyFont="1" applyFill="1" applyBorder="1" applyAlignment="1">
      <alignment vertical="center" wrapText="1"/>
    </xf>
    <xf numFmtId="0" fontId="28" fillId="0" borderId="2" xfId="0" applyFont="1" applyFill="1" applyBorder="1" applyAlignment="1">
      <alignment vertical="center" wrapText="1"/>
    </xf>
    <xf numFmtId="0" fontId="23" fillId="0" borderId="2" xfId="0" applyFont="1" applyBorder="1" applyAlignment="1" applyProtection="1">
      <alignment horizontal="left" vertical="center"/>
      <protection locked="0"/>
    </xf>
    <xf numFmtId="0" fontId="17" fillId="0" borderId="24" xfId="0" applyFont="1" applyBorder="1" applyAlignment="1">
      <alignment vertical="center" wrapText="1"/>
    </xf>
    <xf numFmtId="0" fontId="12" fillId="0" borderId="2" xfId="0" applyFont="1" applyBorder="1" applyAlignment="1" applyProtection="1">
      <alignment horizontal="left" vertical="center" wrapText="1" indent="1"/>
      <protection locked="0"/>
    </xf>
    <xf numFmtId="178" fontId="8" fillId="0" borderId="2" xfId="0" applyNumberFormat="1" applyFont="1" applyBorder="1">
      <alignment vertical="center"/>
    </xf>
    <xf numFmtId="0" fontId="12" fillId="0" borderId="2" xfId="0" applyFont="1" applyBorder="1" applyAlignment="1">
      <alignment horizontal="left" vertical="center" indent="2"/>
    </xf>
    <xf numFmtId="0" fontId="17" fillId="0" borderId="2" xfId="0" applyFont="1" applyBorder="1" applyAlignment="1">
      <alignment horizontal="left" vertical="center" indent="2"/>
    </xf>
    <xf numFmtId="0" fontId="17" fillId="0" borderId="2" xfId="0" applyFont="1" applyBorder="1" applyAlignment="1">
      <alignment horizontal="justify" vertical="center"/>
    </xf>
    <xf numFmtId="0" fontId="26" fillId="0" borderId="2" xfId="0" applyFont="1" applyBorder="1" applyAlignment="1">
      <alignment vertical="center" wrapText="1"/>
    </xf>
    <xf numFmtId="181" fontId="23" fillId="0" borderId="2" xfId="0" applyNumberFormat="1" applyFont="1" applyFill="1" applyBorder="1" applyProtection="1">
      <alignment vertical="center"/>
      <protection locked="0"/>
    </xf>
    <xf numFmtId="181" fontId="8" fillId="0" borderId="2" xfId="0" applyNumberFormat="1" applyFont="1" applyBorder="1">
      <alignment vertical="center"/>
    </xf>
    <xf numFmtId="181" fontId="14" fillId="0" borderId="2" xfId="0" applyNumberFormat="1" applyFont="1" applyFill="1" applyBorder="1" applyProtection="1">
      <alignment vertical="center"/>
      <protection locked="0"/>
    </xf>
    <xf numFmtId="0" fontId="0" fillId="0" borderId="0" xfId="0" applyFill="1">
      <alignment vertical="center"/>
    </xf>
    <xf numFmtId="0" fontId="0" fillId="0" borderId="0" xfId="0" applyFont="1" applyFill="1">
      <alignment vertical="center"/>
    </xf>
    <xf numFmtId="0" fontId="0" fillId="0" borderId="0" xfId="0" applyBorder="1">
      <alignment vertical="center"/>
    </xf>
    <xf numFmtId="181" fontId="14" fillId="0" borderId="0" xfId="0" applyNumberFormat="1" applyFont="1">
      <alignment vertical="center"/>
    </xf>
    <xf numFmtId="182" fontId="0" fillId="0" borderId="0" xfId="0" applyNumberFormat="1">
      <alignment vertical="center"/>
    </xf>
    <xf numFmtId="181" fontId="7" fillId="0" borderId="0" xfId="0" applyNumberFormat="1" applyFont="1" applyAlignment="1">
      <alignment horizontal="center" vertical="center"/>
    </xf>
    <xf numFmtId="0" fontId="29" fillId="0" borderId="0" xfId="0" applyFont="1" applyAlignment="1">
      <alignment horizontal="center" vertical="center"/>
    </xf>
    <xf numFmtId="0" fontId="12" fillId="0" borderId="0" xfId="0" applyFont="1" applyAlignment="1">
      <alignment horizontal="left" vertical="center" indent="1"/>
    </xf>
    <xf numFmtId="0" fontId="9" fillId="0" borderId="0" xfId="0" applyFont="1" applyAlignment="1">
      <alignment horizontal="center" vertical="center"/>
    </xf>
    <xf numFmtId="0" fontId="14" fillId="0" borderId="0" xfId="0" applyFont="1" applyAlignment="1">
      <alignment horizontal="center" vertical="center"/>
    </xf>
    <xf numFmtId="0" fontId="30" fillId="0" borderId="2" xfId="0" applyFont="1" applyBorder="1" applyAlignment="1">
      <alignment horizontal="center" vertical="center"/>
    </xf>
    <xf numFmtId="181" fontId="13" fillId="0" borderId="14" xfId="51" applyNumberFormat="1" applyFont="1" applyFill="1" applyBorder="1" applyAlignment="1" applyProtection="1">
      <alignment horizontal="center" vertical="center"/>
    </xf>
    <xf numFmtId="0" fontId="13" fillId="0" borderId="14" xfId="51" applyFont="1" applyFill="1" applyBorder="1" applyAlignment="1" applyProtection="1">
      <alignment horizontal="center" vertical="center"/>
    </xf>
    <xf numFmtId="0" fontId="13" fillId="0" borderId="27" xfId="51" applyFont="1" applyFill="1" applyBorder="1" applyAlignment="1" applyProtection="1">
      <alignment horizontal="center" vertical="center"/>
    </xf>
    <xf numFmtId="0" fontId="30" fillId="0" borderId="28" xfId="51" applyFont="1" applyFill="1" applyBorder="1" applyAlignment="1" applyProtection="1">
      <alignment horizontal="center" vertical="center"/>
    </xf>
    <xf numFmtId="0" fontId="30" fillId="0" borderId="14" xfId="51" applyFont="1" applyFill="1" applyBorder="1" applyAlignment="1" applyProtection="1">
      <alignment horizontal="center" vertical="center"/>
    </xf>
    <xf numFmtId="0" fontId="30" fillId="0" borderId="27" xfId="51" applyFont="1" applyFill="1" applyBorder="1" applyAlignment="1" applyProtection="1">
      <alignment horizontal="center" vertical="center"/>
    </xf>
    <xf numFmtId="0" fontId="30" fillId="0" borderId="29" xfId="51" applyFont="1" applyFill="1" applyBorder="1" applyAlignment="1" applyProtection="1">
      <alignment horizontal="center" vertical="center" wrapText="1"/>
    </xf>
    <xf numFmtId="0" fontId="30" fillId="0" borderId="0" xfId="51" applyFont="1" applyBorder="1" applyAlignment="1" applyProtection="1">
      <alignment horizontal="center" vertical="center" wrapText="1"/>
    </xf>
    <xf numFmtId="181" fontId="13" fillId="0" borderId="0" xfId="51" applyNumberFormat="1" applyFont="1" applyFill="1" applyBorder="1" applyAlignment="1" applyProtection="1">
      <alignment horizontal="center" vertical="center"/>
    </xf>
    <xf numFmtId="0" fontId="13" fillId="0" borderId="0" xfId="51" applyFont="1" applyFill="1" applyBorder="1" applyAlignment="1" applyProtection="1">
      <alignment horizontal="center" vertical="center"/>
    </xf>
    <xf numFmtId="0" fontId="13" fillId="0" borderId="30" xfId="51" applyFont="1" applyFill="1" applyBorder="1" applyAlignment="1" applyProtection="1">
      <alignment horizontal="center" vertical="center"/>
    </xf>
    <xf numFmtId="0" fontId="30" fillId="0" borderId="2" xfId="51" applyFont="1" applyFill="1" applyBorder="1" applyAlignment="1" applyProtection="1">
      <alignment horizontal="center" vertical="center"/>
    </xf>
    <xf numFmtId="0" fontId="13" fillId="0" borderId="2" xfId="51" applyFont="1" applyFill="1" applyBorder="1" applyAlignment="1" applyProtection="1">
      <alignment horizontal="center" vertical="center"/>
    </xf>
    <xf numFmtId="0" fontId="30" fillId="0" borderId="25" xfId="51" applyFont="1" applyFill="1" applyBorder="1" applyAlignment="1" applyProtection="1">
      <alignment horizontal="center" vertical="center" wrapText="1"/>
    </xf>
    <xf numFmtId="181" fontId="13" fillId="0" borderId="2" xfId="51" applyNumberFormat="1" applyFont="1" applyFill="1" applyBorder="1" applyAlignment="1" applyProtection="1">
      <alignment horizontal="center" vertical="center"/>
    </xf>
    <xf numFmtId="181" fontId="13" fillId="0" borderId="2" xfId="51" applyNumberFormat="1" applyFont="1" applyFill="1" applyBorder="1" applyAlignment="1" applyProtection="1">
      <alignment horizontal="center" vertical="center" wrapText="1"/>
    </xf>
    <xf numFmtId="0" fontId="13" fillId="0" borderId="2" xfId="51" applyFont="1" applyFill="1" applyBorder="1" applyAlignment="1" applyProtection="1">
      <alignment horizontal="center" vertical="center" wrapText="1"/>
    </xf>
    <xf numFmtId="0" fontId="13" fillId="0" borderId="21" xfId="51" applyFont="1" applyFill="1" applyBorder="1" applyAlignment="1" applyProtection="1">
      <alignment horizontal="center" vertical="center" wrapText="1"/>
    </xf>
    <xf numFmtId="0" fontId="30" fillId="0" borderId="21" xfId="51" applyFont="1" applyFill="1" applyBorder="1" applyAlignment="1" applyProtection="1">
      <alignment horizontal="center" vertical="center" wrapText="1"/>
    </xf>
    <xf numFmtId="0" fontId="30" fillId="0" borderId="0" xfId="51" applyFont="1" applyBorder="1" applyAlignment="1" applyProtection="1">
      <alignment horizontal="center" vertical="center"/>
    </xf>
    <xf numFmtId="0" fontId="12" fillId="0" borderId="2" xfId="0" applyFont="1" applyBorder="1" applyAlignment="1">
      <alignment horizontal="center" vertical="center"/>
    </xf>
    <xf numFmtId="181" fontId="14" fillId="0" borderId="2" xfId="0" applyNumberFormat="1" applyFont="1" applyBorder="1" applyProtection="1">
      <alignment vertical="center"/>
      <protection locked="0"/>
    </xf>
    <xf numFmtId="0" fontId="14" fillId="0" borderId="2" xfId="0" applyFont="1" applyBorder="1" applyProtection="1">
      <alignment vertical="center"/>
      <protection locked="0"/>
    </xf>
    <xf numFmtId="9" fontId="14" fillId="0" borderId="2" xfId="0" applyNumberFormat="1" applyFont="1" applyBorder="1" applyAlignment="1" applyProtection="1">
      <alignment horizontal="center" vertical="center"/>
      <protection locked="0"/>
    </xf>
    <xf numFmtId="179" fontId="14" fillId="0" borderId="2" xfId="0" applyNumberFormat="1" applyFont="1" applyBorder="1" applyProtection="1">
      <alignment vertical="center"/>
      <protection locked="0"/>
    </xf>
    <xf numFmtId="183" fontId="31" fillId="0" borderId="2" xfId="0" applyNumberFormat="1" applyFont="1" applyBorder="1" applyProtection="1">
      <alignment vertical="center"/>
      <protection locked="0"/>
    </xf>
    <xf numFmtId="183" fontId="14" fillId="0" borderId="2" xfId="0" applyNumberFormat="1" applyFont="1" applyBorder="1" applyProtection="1">
      <alignment vertical="center"/>
      <protection locked="0"/>
    </xf>
    <xf numFmtId="0" fontId="0" fillId="0" borderId="0" xfId="0" applyBorder="1" applyProtection="1">
      <alignment vertical="center"/>
      <protection locked="0"/>
    </xf>
    <xf numFmtId="178" fontId="14" fillId="0" borderId="2" xfId="0" applyNumberFormat="1" applyFont="1" applyBorder="1" applyProtection="1">
      <alignment vertical="center"/>
      <protection locked="0"/>
    </xf>
    <xf numFmtId="0" fontId="14" fillId="0" borderId="2" xfId="0" applyFont="1" applyFill="1" applyBorder="1" applyProtection="1">
      <alignment vertical="center"/>
      <protection locked="0"/>
    </xf>
    <xf numFmtId="181" fontId="31" fillId="3" borderId="2" xfId="0" applyNumberFormat="1" applyFont="1" applyFill="1" applyBorder="1" applyProtection="1">
      <alignment vertical="center"/>
      <protection locked="0"/>
    </xf>
    <xf numFmtId="0" fontId="0" fillId="0" borderId="0" xfId="0" applyFont="1" applyBorder="1" applyProtection="1">
      <alignment vertical="center"/>
      <protection locked="0"/>
    </xf>
    <xf numFmtId="181" fontId="14" fillId="3" borderId="2" xfId="0" applyNumberFormat="1" applyFont="1" applyFill="1" applyBorder="1" applyProtection="1">
      <alignment vertical="center"/>
      <protection locked="0"/>
    </xf>
    <xf numFmtId="0" fontId="13" fillId="0" borderId="2" xfId="0" applyFont="1" applyBorder="1" applyAlignment="1" applyProtection="1">
      <alignment horizontal="left" vertical="center" indent="1"/>
      <protection locked="0"/>
    </xf>
    <xf numFmtId="0" fontId="21" fillId="0" borderId="0" xfId="0" applyFont="1" applyBorder="1" applyProtection="1">
      <alignment vertical="center"/>
      <protection locked="0"/>
    </xf>
    <xf numFmtId="182" fontId="21" fillId="0" borderId="0" xfId="0" applyNumberFormat="1" applyFont="1">
      <alignment vertical="center"/>
    </xf>
    <xf numFmtId="178" fontId="14" fillId="0" borderId="0" xfId="0" applyNumberFormat="1" applyFont="1" applyFill="1" applyBorder="1" applyAlignment="1">
      <alignment horizontal="center" vertical="center" wrapText="1"/>
    </xf>
    <xf numFmtId="178" fontId="14" fillId="0" borderId="0" xfId="0" applyNumberFormat="1" applyFont="1" applyFill="1" applyBorder="1" applyAlignment="1">
      <alignment horizontal="center" vertical="center"/>
    </xf>
    <xf numFmtId="0" fontId="0" fillId="0" borderId="0" xfId="0" applyBorder="1" applyAlignment="1" applyProtection="1">
      <alignment horizontal="center" vertical="center"/>
      <protection locked="0"/>
    </xf>
    <xf numFmtId="181" fontId="32" fillId="3" borderId="2" xfId="0" applyNumberFormat="1" applyFont="1" applyFill="1" applyBorder="1" applyProtection="1">
      <alignment vertical="center"/>
      <protection locked="0"/>
    </xf>
    <xf numFmtId="0" fontId="26" fillId="0" borderId="2" xfId="0" applyFont="1" applyBorder="1" applyAlignment="1" applyProtection="1">
      <alignment horizontal="left" vertical="center" indent="2"/>
      <protection locked="0"/>
    </xf>
    <xf numFmtId="0" fontId="0" fillId="0" borderId="0" xfId="0" applyFill="1" applyBorder="1">
      <alignment vertical="center"/>
    </xf>
    <xf numFmtId="0" fontId="0" fillId="0" borderId="0" xfId="0" applyFill="1" applyBorder="1" applyProtection="1">
      <alignment vertical="center"/>
      <protection locked="0"/>
    </xf>
    <xf numFmtId="182" fontId="0" fillId="0" borderId="0" xfId="0" applyNumberFormat="1" applyFill="1">
      <alignment vertical="center"/>
    </xf>
    <xf numFmtId="181" fontId="31" fillId="0" borderId="2" xfId="0" applyNumberFormat="1" applyFont="1" applyBorder="1" applyProtection="1">
      <alignment vertical="center"/>
      <protection locked="0"/>
    </xf>
    <xf numFmtId="0" fontId="0" fillId="0" borderId="0" xfId="0" applyFont="1" applyBorder="1">
      <alignment vertical="center"/>
    </xf>
    <xf numFmtId="0" fontId="0" fillId="0" borderId="0" xfId="0" applyFont="1" applyAlignment="1" applyProtection="1">
      <alignment horizontal="center" vertical="center"/>
      <protection locked="0"/>
    </xf>
    <xf numFmtId="182" fontId="0" fillId="0" borderId="0" xfId="0" applyNumberFormat="1" applyFont="1" applyAlignment="1" applyProtection="1">
      <alignment horizontal="center" vertical="center"/>
      <protection locked="0"/>
    </xf>
    <xf numFmtId="182" fontId="0" fillId="0" borderId="0" xfId="0" applyNumberFormat="1" applyFont="1">
      <alignment vertical="center"/>
    </xf>
    <xf numFmtId="0" fontId="21" fillId="0" borderId="0" xfId="0" applyFont="1" applyFill="1" applyBorder="1" applyProtection="1">
      <alignment vertical="center"/>
      <protection locked="0"/>
    </xf>
    <xf numFmtId="0" fontId="0" fillId="0" borderId="0" xfId="0" applyFont="1" applyFill="1" applyBorder="1">
      <alignment vertical="center"/>
    </xf>
    <xf numFmtId="0" fontId="21" fillId="0" borderId="0" xfId="0" applyFont="1" applyFill="1">
      <alignment vertical="center"/>
    </xf>
    <xf numFmtId="182" fontId="0" fillId="0" borderId="0" xfId="0" applyNumberFormat="1" applyFont="1" applyFill="1">
      <alignment vertical="center"/>
    </xf>
    <xf numFmtId="0" fontId="0" fillId="0" borderId="0" xfId="0" applyFont="1" applyFill="1" applyBorder="1" applyProtection="1">
      <alignment vertical="center"/>
      <protection locked="0"/>
    </xf>
    <xf numFmtId="181" fontId="14" fillId="0" borderId="2" xfId="0" applyNumberFormat="1" applyFont="1" applyBorder="1">
      <alignment vertical="center"/>
    </xf>
    <xf numFmtId="0" fontId="21" fillId="0" borderId="0" xfId="0" applyFont="1" applyProtection="1">
      <alignment vertical="center"/>
      <protection locked="0"/>
    </xf>
    <xf numFmtId="0" fontId="31" fillId="0" borderId="2" xfId="0" applyFont="1" applyBorder="1" applyProtection="1">
      <alignment vertical="center"/>
      <protection locked="0"/>
    </xf>
    <xf numFmtId="181" fontId="32" fillId="3" borderId="0" xfId="0" applyNumberFormat="1" applyFont="1" applyFill="1" applyBorder="1" applyProtection="1">
      <alignment vertical="center"/>
      <protection locked="0"/>
    </xf>
    <xf numFmtId="0" fontId="12" fillId="0" borderId="2" xfId="0" applyFont="1" applyFill="1" applyBorder="1" applyAlignment="1">
      <alignment horizontal="left" vertical="center" indent="2"/>
    </xf>
    <xf numFmtId="0" fontId="0" fillId="0" borderId="0" xfId="0" applyFont="1" applyBorder="1" applyAlignment="1">
      <alignment horizontal="right" vertical="center"/>
    </xf>
    <xf numFmtId="0" fontId="1" fillId="3" borderId="2" xfId="0" applyFont="1" applyFill="1" applyBorder="1" applyAlignment="1" applyProtection="1">
      <alignment horizontal="left" vertical="center" indent="1"/>
      <protection locked="0"/>
    </xf>
    <xf numFmtId="181" fontId="32" fillId="3" borderId="2" xfId="0" applyNumberFormat="1" applyFont="1" applyFill="1" applyBorder="1">
      <alignment vertical="center"/>
    </xf>
    <xf numFmtId="0" fontId="21" fillId="4" borderId="0" xfId="0" applyFont="1" applyFill="1">
      <alignment vertical="center"/>
    </xf>
    <xf numFmtId="0" fontId="0" fillId="4" borderId="0" xfId="0" applyFont="1" applyFill="1">
      <alignment vertical="center"/>
    </xf>
    <xf numFmtId="0" fontId="21" fillId="5" borderId="0" xfId="0" applyFont="1" applyFill="1">
      <alignment vertical="center"/>
    </xf>
    <xf numFmtId="184" fontId="13" fillId="0" borderId="0" xfId="0" applyNumberFormat="1" applyFont="1">
      <alignment vertical="center"/>
    </xf>
    <xf numFmtId="185" fontId="14" fillId="0" borderId="0" xfId="0" applyNumberFormat="1" applyFont="1">
      <alignment vertical="center"/>
    </xf>
    <xf numFmtId="0" fontId="32" fillId="0" borderId="0" xfId="0" applyFont="1">
      <alignment vertical="center"/>
    </xf>
    <xf numFmtId="184" fontId="33" fillId="0" borderId="0" xfId="0" applyNumberFormat="1" applyFont="1" applyAlignment="1">
      <alignment horizontal="center" vertical="center"/>
    </xf>
    <xf numFmtId="185" fontId="33" fillId="0" borderId="0" xfId="0" applyNumberFormat="1" applyFont="1" applyAlignment="1">
      <alignment horizontal="center" vertical="center"/>
    </xf>
    <xf numFmtId="0" fontId="33" fillId="0" borderId="0" xfId="0" applyFont="1" applyAlignment="1">
      <alignment horizontal="center" vertical="center"/>
    </xf>
    <xf numFmtId="0" fontId="34" fillId="0" borderId="0" xfId="0" applyFont="1" applyAlignment="1">
      <alignment horizontal="center" vertical="center"/>
    </xf>
    <xf numFmtId="184" fontId="13" fillId="0" borderId="0" xfId="0" applyNumberFormat="1" applyFont="1" applyAlignment="1">
      <alignment horizontal="left" vertical="center" indent="1"/>
    </xf>
    <xf numFmtId="0" fontId="32" fillId="0" borderId="0" xfId="0" applyFont="1" applyAlignment="1">
      <alignment horizontal="center" vertical="center"/>
    </xf>
    <xf numFmtId="184" fontId="13" fillId="0" borderId="2" xfId="0" applyNumberFormat="1" applyFont="1" applyBorder="1" applyAlignment="1">
      <alignment horizontal="center" vertical="center"/>
    </xf>
    <xf numFmtId="185" fontId="13" fillId="0" borderId="23" xfId="51" applyNumberFormat="1" applyFont="1" applyFill="1" applyBorder="1" applyAlignment="1" applyProtection="1">
      <alignment horizontal="center" vertical="center"/>
    </xf>
    <xf numFmtId="0" fontId="13" fillId="0" borderId="23" xfId="51" applyFont="1" applyFill="1" applyBorder="1" applyAlignment="1" applyProtection="1">
      <alignment horizontal="center" vertical="center"/>
    </xf>
    <xf numFmtId="0" fontId="35" fillId="0" borderId="22" xfId="51" applyFont="1" applyFill="1" applyBorder="1" applyAlignment="1" applyProtection="1">
      <alignment horizontal="center" vertical="center"/>
    </xf>
    <xf numFmtId="0" fontId="36" fillId="0" borderId="23" xfId="51" applyFont="1" applyFill="1" applyBorder="1" applyAlignment="1" applyProtection="1">
      <alignment horizontal="center" vertical="center"/>
    </xf>
    <xf numFmtId="0" fontId="36" fillId="0" borderId="24" xfId="51" applyFont="1" applyFill="1" applyBorder="1" applyAlignment="1" applyProtection="1">
      <alignment horizontal="center" vertical="center"/>
    </xf>
    <xf numFmtId="185" fontId="16" fillId="0" borderId="2" xfId="51" applyNumberFormat="1" applyFont="1" applyFill="1" applyBorder="1" applyAlignment="1" applyProtection="1">
      <alignment horizontal="center" vertical="center" wrapText="1"/>
    </xf>
    <xf numFmtId="185" fontId="13" fillId="0" borderId="27" xfId="51" applyNumberFormat="1" applyFont="1" applyFill="1" applyBorder="1" applyAlignment="1" applyProtection="1">
      <alignment horizontal="center" vertical="center"/>
    </xf>
    <xf numFmtId="0" fontId="35" fillId="0" borderId="29" xfId="51" applyFont="1" applyFill="1" applyBorder="1" applyAlignment="1" applyProtection="1">
      <alignment horizontal="center" vertical="center" wrapText="1"/>
    </xf>
    <xf numFmtId="0" fontId="13" fillId="0" borderId="29" xfId="51" applyFont="1" applyFill="1" applyBorder="1" applyAlignment="1" applyProtection="1">
      <alignment horizontal="center" vertical="center" wrapText="1"/>
    </xf>
    <xf numFmtId="0" fontId="13" fillId="0" borderId="29" xfId="51" applyFont="1" applyFill="1" applyBorder="1" applyAlignment="1" applyProtection="1">
      <alignment horizontal="center" vertical="center"/>
    </xf>
    <xf numFmtId="0" fontId="13" fillId="0" borderId="22" xfId="51" applyFont="1" applyFill="1" applyBorder="1" applyAlignment="1" applyProtection="1">
      <alignment horizontal="center" vertical="center"/>
    </xf>
    <xf numFmtId="0" fontId="13" fillId="0" borderId="24" xfId="51" applyFont="1" applyFill="1" applyBorder="1" applyAlignment="1" applyProtection="1">
      <alignment horizontal="center" vertical="center"/>
    </xf>
    <xf numFmtId="184" fontId="13" fillId="0" borderId="21" xfId="0" applyNumberFormat="1" applyFont="1" applyBorder="1" applyAlignment="1">
      <alignment horizontal="center" vertical="center"/>
    </xf>
    <xf numFmtId="184" fontId="13" fillId="0" borderId="21" xfId="0" applyNumberFormat="1" applyFont="1" applyBorder="1" applyAlignment="1">
      <alignment horizontal="center" vertical="center" wrapText="1"/>
    </xf>
    <xf numFmtId="185" fontId="13" fillId="0" borderId="21" xfId="51" applyNumberFormat="1" applyFont="1" applyFill="1" applyBorder="1" applyAlignment="1" applyProtection="1">
      <alignment horizontal="center" vertical="center"/>
    </xf>
    <xf numFmtId="0" fontId="36" fillId="0" borderId="21" xfId="51" applyFont="1" applyFill="1" applyBorder="1" applyAlignment="1" applyProtection="1">
      <alignment horizontal="center" vertical="center" wrapText="1"/>
    </xf>
    <xf numFmtId="0" fontId="13" fillId="0" borderId="21" xfId="51" applyFont="1" applyFill="1" applyBorder="1" applyAlignment="1" applyProtection="1">
      <alignment horizontal="center" vertical="center"/>
    </xf>
    <xf numFmtId="185" fontId="16" fillId="0" borderId="2" xfId="51" applyNumberFormat="1" applyFont="1" applyFill="1" applyBorder="1" applyAlignment="1" applyProtection="1">
      <alignment horizontal="center" vertical="center"/>
    </xf>
    <xf numFmtId="184" fontId="14" fillId="0" borderId="2" xfId="0" applyNumberFormat="1" applyFont="1" applyBorder="1" applyProtection="1">
      <alignment vertical="center"/>
      <protection locked="0"/>
    </xf>
    <xf numFmtId="185" fontId="14" fillId="0" borderId="2" xfId="0" applyNumberFormat="1" applyFont="1" applyBorder="1" applyProtection="1">
      <alignment vertical="center"/>
      <protection locked="0"/>
    </xf>
    <xf numFmtId="0" fontId="14" fillId="0" borderId="2" xfId="0" applyNumberFormat="1" applyFont="1" applyBorder="1" applyProtection="1">
      <alignment vertical="center"/>
      <protection locked="0"/>
    </xf>
    <xf numFmtId="185" fontId="32" fillId="0" borderId="2" xfId="0" applyNumberFormat="1" applyFont="1" applyBorder="1" applyProtection="1">
      <alignment vertical="center"/>
      <protection locked="0"/>
    </xf>
    <xf numFmtId="0" fontId="21" fillId="4" borderId="0" xfId="0" applyFont="1" applyFill="1" applyBorder="1">
      <alignment vertical="center"/>
    </xf>
    <xf numFmtId="0" fontId="21" fillId="6" borderId="0" xfId="0" applyFont="1" applyFill="1" applyBorder="1">
      <alignment vertical="center"/>
    </xf>
    <xf numFmtId="0" fontId="12" fillId="3" borderId="2" xfId="0" applyFont="1" applyFill="1" applyBorder="1" applyAlignment="1" applyProtection="1">
      <alignment horizontal="left" vertical="center" indent="1"/>
      <protection locked="0"/>
    </xf>
    <xf numFmtId="184" fontId="32" fillId="3" borderId="2" xfId="0" applyNumberFormat="1" applyFont="1" applyFill="1" applyBorder="1" applyProtection="1">
      <alignment vertical="center"/>
      <protection locked="0"/>
    </xf>
    <xf numFmtId="184" fontId="31" fillId="3" borderId="2" xfId="0" applyNumberFormat="1" applyFont="1" applyFill="1" applyBorder="1" applyProtection="1">
      <alignment vertical="center"/>
      <protection locked="0"/>
    </xf>
    <xf numFmtId="185" fontId="32" fillId="3" borderId="2" xfId="0" applyNumberFormat="1" applyFont="1" applyFill="1" applyBorder="1" applyProtection="1">
      <alignment vertical="center"/>
      <protection locked="0"/>
    </xf>
    <xf numFmtId="0" fontId="14" fillId="3" borderId="2" xfId="0" applyFont="1" applyFill="1" applyBorder="1" applyProtection="1">
      <alignment vertical="center"/>
      <protection locked="0"/>
    </xf>
    <xf numFmtId="178" fontId="32" fillId="3" borderId="2" xfId="0" applyNumberFormat="1" applyFont="1" applyFill="1" applyBorder="1" applyProtection="1">
      <alignment vertical="center"/>
      <protection locked="0"/>
    </xf>
    <xf numFmtId="0" fontId="32" fillId="3" borderId="2" xfId="0" applyFont="1" applyFill="1" applyBorder="1" applyProtection="1">
      <alignment vertical="center"/>
      <protection locked="0"/>
    </xf>
    <xf numFmtId="0" fontId="21" fillId="4" borderId="0" xfId="0" applyFont="1" applyFill="1" applyBorder="1" applyProtection="1">
      <alignment vertical="center"/>
      <protection locked="0"/>
    </xf>
    <xf numFmtId="184" fontId="14" fillId="3" borderId="2" xfId="0" applyNumberFormat="1" applyFont="1" applyFill="1" applyBorder="1" applyProtection="1">
      <alignment vertical="center"/>
      <protection locked="0"/>
    </xf>
    <xf numFmtId="0" fontId="0" fillId="4" borderId="0" xfId="0" applyFont="1" applyFill="1" applyBorder="1">
      <alignment vertical="center"/>
    </xf>
    <xf numFmtId="0" fontId="0" fillId="6" borderId="0" xfId="0" applyFont="1" applyFill="1" applyBorder="1">
      <alignment vertical="center"/>
    </xf>
    <xf numFmtId="0" fontId="16" fillId="3" borderId="2" xfId="0" applyFont="1" applyFill="1" applyBorder="1" applyAlignment="1" applyProtection="1">
      <alignment horizontal="left" vertical="center" indent="1"/>
      <protection locked="0"/>
    </xf>
    <xf numFmtId="0" fontId="0" fillId="4" borderId="0" xfId="0" applyFont="1" applyFill="1" applyBorder="1" applyProtection="1">
      <alignment vertical="center"/>
      <protection locked="0"/>
    </xf>
    <xf numFmtId="0" fontId="12" fillId="3" borderId="2" xfId="0" applyFont="1" applyFill="1" applyBorder="1" applyAlignment="1" applyProtection="1">
      <alignment horizontal="left" vertical="center" indent="2"/>
      <protection locked="0"/>
    </xf>
    <xf numFmtId="0" fontId="1" fillId="3" borderId="2" xfId="0" applyFont="1" applyFill="1" applyBorder="1" applyAlignment="1" applyProtection="1">
      <alignment horizontal="left" vertical="center" indent="2"/>
      <protection locked="0"/>
    </xf>
    <xf numFmtId="184" fontId="37" fillId="3" borderId="2" xfId="0" applyNumberFormat="1" applyFont="1" applyFill="1" applyBorder="1" applyProtection="1">
      <alignment vertical="center"/>
      <protection locked="0"/>
    </xf>
    <xf numFmtId="178" fontId="14" fillId="0" borderId="2" xfId="0" applyNumberFormat="1" applyFont="1" applyFill="1" applyBorder="1" applyAlignment="1">
      <alignment horizontal="right" vertical="center"/>
    </xf>
    <xf numFmtId="0" fontId="38" fillId="3" borderId="2" xfId="0" applyFont="1" applyFill="1" applyBorder="1" applyAlignment="1" applyProtection="1">
      <alignment horizontal="left" vertical="center" indent="2"/>
      <protection locked="0"/>
    </xf>
    <xf numFmtId="185" fontId="14" fillId="3" borderId="2" xfId="0" applyNumberFormat="1" applyFont="1" applyFill="1" applyBorder="1" applyProtection="1">
      <alignment vertical="center"/>
      <protection locked="0"/>
    </xf>
    <xf numFmtId="178" fontId="14" fillId="0" borderId="2" xfId="0" applyNumberFormat="1" applyFont="1" applyFill="1" applyBorder="1" applyAlignment="1" applyProtection="1">
      <alignment horizontal="right" vertical="center"/>
      <protection locked="0"/>
    </xf>
    <xf numFmtId="0" fontId="39" fillId="0" borderId="0" xfId="0" applyFont="1" applyFill="1" applyBorder="1" applyAlignment="1">
      <alignment vertical="center"/>
    </xf>
    <xf numFmtId="178" fontId="14" fillId="3" borderId="2" xfId="0" applyNumberFormat="1" applyFont="1" applyFill="1" applyBorder="1" applyProtection="1">
      <alignment vertical="center"/>
      <protection locked="0"/>
    </xf>
    <xf numFmtId="0" fontId="14" fillId="3" borderId="0" xfId="0" applyFont="1" applyFill="1" applyBorder="1" applyProtection="1">
      <alignment vertical="center"/>
      <protection locked="0"/>
    </xf>
    <xf numFmtId="0" fontId="31" fillId="3" borderId="2" xfId="0" applyFont="1" applyFill="1" applyBorder="1" applyProtection="1">
      <alignment vertical="center"/>
      <protection locked="0"/>
    </xf>
    <xf numFmtId="0" fontId="14" fillId="3" borderId="2" xfId="0" applyNumberFormat="1" applyFont="1" applyFill="1" applyBorder="1" applyProtection="1">
      <alignment vertical="center"/>
      <protection locked="0"/>
    </xf>
    <xf numFmtId="0" fontId="32" fillId="3" borderId="2" xfId="0" applyNumberFormat="1" applyFont="1" applyFill="1" applyBorder="1" applyProtection="1">
      <alignment vertical="center"/>
      <protection locked="0"/>
    </xf>
    <xf numFmtId="0" fontId="14" fillId="3" borderId="2" xfId="0" applyNumberFormat="1" applyFont="1" applyFill="1" applyBorder="1" applyAlignment="1" applyProtection="1">
      <alignment horizontal="right" vertical="center"/>
      <protection locked="0"/>
    </xf>
    <xf numFmtId="0" fontId="40" fillId="3" borderId="2" xfId="0" applyFont="1" applyFill="1" applyBorder="1" applyProtection="1">
      <alignment vertical="center"/>
      <protection locked="0"/>
    </xf>
    <xf numFmtId="185" fontId="32" fillId="0" borderId="2" xfId="0" applyNumberFormat="1" applyFont="1" applyFill="1" applyBorder="1" applyProtection="1">
      <alignment vertical="center"/>
      <protection locked="0"/>
    </xf>
    <xf numFmtId="178" fontId="32" fillId="0" borderId="2" xfId="0" applyNumberFormat="1" applyFont="1" applyFill="1" applyBorder="1" applyProtection="1">
      <alignment vertical="center"/>
      <protection locked="0"/>
    </xf>
    <xf numFmtId="0" fontId="32" fillId="0" borderId="2" xfId="0" applyFont="1" applyFill="1" applyBorder="1" applyProtection="1">
      <alignment vertical="center"/>
      <protection locked="0"/>
    </xf>
    <xf numFmtId="0" fontId="32" fillId="0" borderId="0" xfId="0" applyFont="1" applyFill="1" applyBorder="1" applyProtection="1">
      <alignment vertical="center"/>
      <protection locked="0"/>
    </xf>
    <xf numFmtId="0" fontId="14" fillId="0" borderId="2" xfId="0" applyNumberFormat="1" applyFont="1" applyFill="1" applyBorder="1" applyAlignment="1">
      <alignment horizontal="center" vertical="center" shrinkToFit="1"/>
    </xf>
    <xf numFmtId="0" fontId="1" fillId="3" borderId="2" xfId="0" applyFont="1" applyFill="1" applyBorder="1" applyProtection="1">
      <alignment vertical="center"/>
      <protection locked="0"/>
    </xf>
    <xf numFmtId="0" fontId="1" fillId="3" borderId="2" xfId="0" applyFont="1" applyFill="1" applyBorder="1">
      <alignment vertical="center"/>
    </xf>
    <xf numFmtId="184" fontId="32" fillId="3" borderId="2" xfId="0" applyNumberFormat="1" applyFont="1" applyFill="1" applyBorder="1">
      <alignment vertical="center"/>
    </xf>
    <xf numFmtId="0" fontId="14" fillId="3" borderId="2" xfId="0" applyFont="1" applyFill="1" applyBorder="1">
      <alignment vertical="center"/>
    </xf>
    <xf numFmtId="0" fontId="32" fillId="3" borderId="2" xfId="0" applyFont="1" applyFill="1" applyBorder="1">
      <alignment vertical="center"/>
    </xf>
    <xf numFmtId="0" fontId="14" fillId="3" borderId="25" xfId="0" applyFont="1" applyFill="1" applyBorder="1" applyProtection="1">
      <alignment vertical="center"/>
      <protection locked="0"/>
    </xf>
    <xf numFmtId="0" fontId="32" fillId="3" borderId="25" xfId="0" applyFont="1" applyFill="1" applyBorder="1" applyProtection="1">
      <alignment vertical="center"/>
      <protection locked="0"/>
    </xf>
    <xf numFmtId="0" fontId="17" fillId="3" borderId="2" xfId="0" applyFont="1" applyFill="1" applyBorder="1" applyAlignment="1" applyProtection="1">
      <alignment horizontal="left" vertical="center" indent="1"/>
      <protection locked="0"/>
    </xf>
    <xf numFmtId="184" fontId="32" fillId="3" borderId="0" xfId="0" applyNumberFormat="1" applyFont="1" applyFill="1" applyBorder="1" applyProtection="1">
      <alignment vertical="center"/>
      <protection locked="0"/>
    </xf>
    <xf numFmtId="0" fontId="32" fillId="3" borderId="0" xfId="0" applyFont="1" applyFill="1" applyBorder="1" applyProtection="1">
      <alignment vertical="center"/>
      <protection locked="0"/>
    </xf>
    <xf numFmtId="0" fontId="1" fillId="3" borderId="2" xfId="0" applyFont="1" applyFill="1" applyBorder="1" applyAlignment="1">
      <alignment horizontal="left" vertical="center" indent="2"/>
    </xf>
    <xf numFmtId="0" fontId="21" fillId="5" borderId="0" xfId="0" applyFont="1" applyFill="1" applyBorder="1">
      <alignment vertical="center"/>
    </xf>
    <xf numFmtId="0" fontId="1" fillId="5" borderId="2" xfId="0" applyFont="1" applyFill="1" applyBorder="1" applyAlignment="1">
      <alignment horizontal="left" vertical="center" indent="2"/>
    </xf>
    <xf numFmtId="184" fontId="32" fillId="5" borderId="2" xfId="0" applyNumberFormat="1" applyFont="1" applyFill="1" applyBorder="1" applyProtection="1">
      <alignment vertical="center"/>
      <protection locked="0"/>
    </xf>
    <xf numFmtId="185" fontId="32" fillId="5" borderId="2" xfId="0" applyNumberFormat="1" applyFont="1" applyFill="1" applyBorder="1" applyProtection="1">
      <alignment vertical="center"/>
      <protection locked="0"/>
    </xf>
    <xf numFmtId="0" fontId="14" fillId="5" borderId="2" xfId="0" applyFont="1" applyFill="1" applyBorder="1" applyProtection="1">
      <alignment vertical="center"/>
      <protection locked="0"/>
    </xf>
    <xf numFmtId="178" fontId="32" fillId="5" borderId="2" xfId="0" applyNumberFormat="1" applyFont="1" applyFill="1" applyBorder="1" applyProtection="1">
      <alignment vertical="center"/>
      <protection locked="0"/>
    </xf>
    <xf numFmtId="0" fontId="32" fillId="5" borderId="2" xfId="0" applyFont="1" applyFill="1" applyBorder="1" applyProtection="1">
      <alignment vertical="center"/>
      <protection locked="0"/>
    </xf>
    <xf numFmtId="0" fontId="21" fillId="5" borderId="0" xfId="0" applyFont="1" applyFill="1" applyBorder="1" applyProtection="1">
      <alignment vertical="center"/>
      <protection locked="0"/>
    </xf>
    <xf numFmtId="184" fontId="14" fillId="0" borderId="2" xfId="0" applyNumberFormat="1" applyFont="1" applyFill="1" applyBorder="1" applyProtection="1">
      <alignment vertical="center"/>
      <protection locked="0"/>
    </xf>
    <xf numFmtId="185" fontId="14" fillId="0" borderId="2" xfId="0" applyNumberFormat="1" applyFont="1" applyFill="1" applyBorder="1" applyProtection="1">
      <alignment vertical="center"/>
      <protection locked="0"/>
    </xf>
    <xf numFmtId="178" fontId="14" fillId="0" borderId="2" xfId="0" applyNumberFormat="1" applyFont="1" applyFill="1" applyBorder="1" applyProtection="1">
      <alignment vertical="center"/>
      <protection locked="0"/>
    </xf>
    <xf numFmtId="0" fontId="0" fillId="4" borderId="0" xfId="0" applyFont="1" applyFill="1" applyBorder="1" applyAlignment="1">
      <alignment horizontal="right" vertical="center"/>
    </xf>
    <xf numFmtId="0" fontId="0" fillId="6" borderId="0" xfId="0" applyFont="1" applyFill="1" applyBorder="1" applyAlignment="1">
      <alignment horizontal="right" vertical="center"/>
    </xf>
    <xf numFmtId="181" fontId="40" fillId="3" borderId="2" xfId="0" applyNumberFormat="1" applyFont="1" applyFill="1" applyBorder="1" applyProtection="1">
      <alignment vertical="center"/>
      <protection locked="0"/>
    </xf>
    <xf numFmtId="181" fontId="16" fillId="3" borderId="2" xfId="0" applyNumberFormat="1" applyFont="1" applyFill="1" applyBorder="1" applyProtection="1">
      <alignment vertical="center"/>
      <protection locked="0"/>
    </xf>
    <xf numFmtId="184" fontId="14" fillId="3" borderId="2" xfId="0" applyNumberFormat="1" applyFont="1" applyFill="1" applyBorder="1">
      <alignment vertical="center"/>
    </xf>
    <xf numFmtId="181" fontId="1" fillId="3" borderId="2" xfId="0" applyNumberFormat="1" applyFont="1" applyFill="1" applyBorder="1" applyProtection="1">
      <alignment vertical="center"/>
      <protection locked="0"/>
    </xf>
    <xf numFmtId="0" fontId="12" fillId="4" borderId="0" xfId="0" applyFont="1" applyFill="1">
      <alignment vertical="center"/>
    </xf>
    <xf numFmtId="184" fontId="13" fillId="4" borderId="0" xfId="0" applyNumberFormat="1" applyFont="1" applyFill="1">
      <alignment vertical="center"/>
    </xf>
    <xf numFmtId="185" fontId="14" fillId="4" borderId="0" xfId="0" applyNumberFormat="1" applyFont="1" applyFill="1">
      <alignment vertical="center"/>
    </xf>
    <xf numFmtId="0" fontId="14" fillId="4" borderId="0" xfId="0" applyFont="1" applyFill="1">
      <alignment vertical="center"/>
    </xf>
    <xf numFmtId="0" fontId="32" fillId="4" borderId="0" xfId="0" applyFont="1" applyFill="1">
      <alignment vertical="center"/>
    </xf>
    <xf numFmtId="181" fontId="0" fillId="0" borderId="0" xfId="0" applyNumberFormat="1">
      <alignment vertical="center"/>
    </xf>
    <xf numFmtId="178" fontId="0" fillId="0" borderId="0" xfId="0" applyNumberFormat="1">
      <alignment vertical="center"/>
    </xf>
    <xf numFmtId="0" fontId="41" fillId="0" borderId="0" xfId="0" applyFont="1" applyAlignment="1">
      <alignment horizontal="center" vertical="center"/>
    </xf>
    <xf numFmtId="0" fontId="0" fillId="0" borderId="0" xfId="0" applyAlignment="1">
      <alignment horizontal="center" vertical="center"/>
    </xf>
    <xf numFmtId="181" fontId="0" fillId="0" borderId="2" xfId="0" applyNumberFormat="1" applyBorder="1">
      <alignment vertical="center"/>
    </xf>
    <xf numFmtId="178" fontId="0" fillId="0" borderId="2" xfId="0" applyNumberFormat="1" applyBorder="1">
      <alignment vertical="center"/>
    </xf>
    <xf numFmtId="0" fontId="0" fillId="3" borderId="0" xfId="0" applyFont="1" applyFill="1" applyBorder="1">
      <alignment vertical="center"/>
    </xf>
    <xf numFmtId="0" fontId="42" fillId="0" borderId="0" xfId="0" applyFont="1" applyFill="1" applyBorder="1">
      <alignment vertical="center"/>
    </xf>
    <xf numFmtId="0" fontId="1" fillId="0" borderId="0" xfId="0" applyFont="1" applyFill="1">
      <alignment vertical="center"/>
    </xf>
    <xf numFmtId="0" fontId="7" fillId="0" borderId="0" xfId="50" applyFont="1" applyFill="1" applyAlignment="1" applyProtection="1">
      <alignment horizontal="center"/>
    </xf>
    <xf numFmtId="0" fontId="0" fillId="0" borderId="0" xfId="50" applyFont="1" applyFill="1" applyBorder="1" applyAlignment="1">
      <protection locked="0"/>
    </xf>
    <xf numFmtId="0" fontId="0" fillId="3" borderId="0" xfId="50" applyFont="1" applyFill="1" applyBorder="1" applyAlignment="1">
      <protection locked="0"/>
    </xf>
    <xf numFmtId="0" fontId="9" fillId="0" borderId="0" xfId="50" applyFont="1" applyFill="1" applyAlignment="1">
      <protection locked="0"/>
    </xf>
    <xf numFmtId="0" fontId="15" fillId="0" borderId="2" xfId="50" applyFont="1" applyFill="1" applyBorder="1" applyAlignment="1">
      <alignment horizontal="center" vertical="center"/>
      <protection locked="0"/>
    </xf>
    <xf numFmtId="0" fontId="15" fillId="3" borderId="2" xfId="50" applyFont="1" applyFill="1" applyBorder="1" applyAlignment="1">
      <alignment horizontal="center" vertical="center"/>
      <protection locked="0"/>
    </xf>
    <xf numFmtId="0" fontId="15" fillId="0" borderId="29" xfId="50" applyFont="1" applyFill="1" applyBorder="1" applyAlignment="1">
      <alignment horizontal="center" vertical="center" wrapText="1"/>
      <protection locked="0"/>
    </xf>
    <xf numFmtId="0" fontId="15" fillId="0" borderId="2" xfId="50" applyFont="1" applyFill="1" applyBorder="1" applyAlignment="1">
      <alignment horizontal="center" vertical="center" wrapText="1"/>
      <protection locked="0"/>
    </xf>
    <xf numFmtId="0" fontId="15" fillId="3" borderId="2" xfId="50" applyFont="1" applyFill="1" applyBorder="1" applyAlignment="1">
      <alignment horizontal="center" vertical="center" wrapText="1"/>
      <protection locked="0"/>
    </xf>
    <xf numFmtId="0" fontId="15" fillId="0" borderId="21" xfId="50" applyFont="1" applyFill="1" applyBorder="1" applyAlignment="1">
      <alignment horizontal="center" vertical="center" wrapText="1"/>
      <protection locked="0"/>
    </xf>
    <xf numFmtId="0" fontId="12" fillId="0" borderId="2" xfId="50" applyFont="1" applyFill="1" applyBorder="1" applyAlignment="1">
      <protection locked="0"/>
    </xf>
    <xf numFmtId="181" fontId="14" fillId="0" borderId="2" xfId="50" applyNumberFormat="1" applyFont="1" applyFill="1" applyBorder="1" applyAlignment="1" applyProtection="1"/>
    <xf numFmtId="178" fontId="14" fillId="0" borderId="2" xfId="50" applyNumberFormat="1" applyFont="1" applyFill="1" applyBorder="1" applyAlignment="1" applyProtection="1"/>
    <xf numFmtId="0" fontId="12" fillId="0" borderId="2" xfId="0" applyFont="1" applyFill="1" applyBorder="1" applyAlignment="1"/>
    <xf numFmtId="181" fontId="13" fillId="0" borderId="2" xfId="50" applyNumberFormat="1" applyFont="1" applyFill="1" applyBorder="1" applyAlignment="1" applyProtection="1">
      <protection locked="0"/>
    </xf>
    <xf numFmtId="0" fontId="13" fillId="0" borderId="2" xfId="50" applyFont="1" applyFill="1" applyBorder="1" applyAlignment="1" applyProtection="1">
      <protection locked="0"/>
    </xf>
    <xf numFmtId="181" fontId="13" fillId="0" borderId="2" xfId="50" applyNumberFormat="1" applyFont="1" applyFill="1" applyBorder="1" applyAlignment="1">
      <protection locked="0"/>
    </xf>
    <xf numFmtId="1" fontId="12" fillId="0" borderId="2" xfId="0" applyNumberFormat="1" applyFont="1" applyFill="1" applyBorder="1" applyAlignment="1"/>
    <xf numFmtId="0" fontId="0" fillId="0" borderId="0" xfId="0" applyNumberFormat="1" applyFont="1" applyFill="1" applyBorder="1">
      <alignment vertical="center"/>
    </xf>
    <xf numFmtId="181" fontId="13" fillId="3" borderId="2" xfId="50" applyNumberFormat="1" applyFont="1" applyFill="1" applyBorder="1" applyAlignment="1">
      <protection locked="0"/>
    </xf>
    <xf numFmtId="0" fontId="12" fillId="0" borderId="2" xfId="50" applyFont="1" applyFill="1" applyBorder="1" applyAlignment="1">
      <alignment horizontal="left" indent="1"/>
      <protection locked="0"/>
    </xf>
    <xf numFmtId="0" fontId="12" fillId="0" borderId="2" xfId="50" applyFont="1" applyFill="1" applyBorder="1" applyAlignment="1">
      <alignment horizontal="left" indent="2"/>
      <protection locked="0"/>
    </xf>
    <xf numFmtId="0" fontId="23" fillId="0" borderId="2" xfId="50" applyFont="1" applyFill="1" applyBorder="1" applyAlignment="1">
      <alignment horizontal="center"/>
      <protection locked="0"/>
    </xf>
    <xf numFmtId="0" fontId="7" fillId="0" borderId="0" xfId="54" applyFont="1" applyAlignment="1" applyProtection="1">
      <alignment horizontal="center"/>
    </xf>
    <xf numFmtId="0" fontId="33" fillId="0" borderId="0" xfId="54" applyFont="1" applyAlignment="1" applyProtection="1">
      <alignment horizontal="center"/>
    </xf>
    <xf numFmtId="0" fontId="0" fillId="0" borderId="0" xfId="54" applyFont="1" applyAlignment="1">
      <protection locked="0"/>
    </xf>
    <xf numFmtId="0" fontId="8" fillId="0" borderId="0" xfId="54" applyFont="1" applyAlignment="1">
      <protection locked="0"/>
    </xf>
    <xf numFmtId="0" fontId="14" fillId="0" borderId="0" xfId="54" applyFont="1" applyAlignment="1">
      <protection locked="0"/>
    </xf>
    <xf numFmtId="31" fontId="43" fillId="0" borderId="1" xfId="54" applyNumberFormat="1" applyFont="1" applyBorder="1" applyAlignment="1">
      <alignment horizontal="center"/>
      <protection locked="0"/>
    </xf>
    <xf numFmtId="0" fontId="43" fillId="0" borderId="1" xfId="54" applyFont="1" applyBorder="1" applyAlignment="1">
      <alignment horizontal="center"/>
      <protection locked="0"/>
    </xf>
    <xf numFmtId="0" fontId="14" fillId="0" borderId="0" xfId="54" applyFont="1" applyBorder="1" applyAlignment="1">
      <protection locked="0"/>
    </xf>
    <xf numFmtId="0" fontId="43" fillId="0" borderId="0" xfId="54" applyFont="1" applyBorder="1" applyAlignment="1">
      <protection locked="0"/>
    </xf>
    <xf numFmtId="0" fontId="9" fillId="0" borderId="0" xfId="54" applyFont="1" applyAlignment="1">
      <alignment horizontal="center"/>
      <protection locked="0"/>
    </xf>
    <xf numFmtId="0" fontId="10" fillId="0" borderId="2" xfId="54" applyFont="1" applyBorder="1" applyAlignment="1">
      <alignment horizontal="center"/>
      <protection locked="0"/>
    </xf>
    <xf numFmtId="0" fontId="44" fillId="0" borderId="2" xfId="54" applyFont="1" applyBorder="1" applyAlignment="1">
      <alignment horizontal="center"/>
      <protection locked="0"/>
    </xf>
    <xf numFmtId="0" fontId="23" fillId="0" borderId="2" xfId="54" applyFont="1" applyBorder="1" applyAlignment="1">
      <alignment horizontal="center" vertical="center" wrapText="1"/>
      <protection locked="0"/>
    </xf>
    <xf numFmtId="0" fontId="45" fillId="0" borderId="2" xfId="54" applyFont="1" applyBorder="1" applyAlignment="1">
      <alignment horizontal="center" vertical="center" wrapText="1"/>
      <protection locked="0"/>
    </xf>
    <xf numFmtId="0" fontId="46" fillId="0" borderId="2" xfId="54" applyFont="1" applyBorder="1" applyAlignment="1">
      <alignment horizontal="center" vertical="center"/>
      <protection locked="0"/>
    </xf>
    <xf numFmtId="0" fontId="24" fillId="0" borderId="2" xfId="54" applyFont="1" applyBorder="1" applyAlignment="1">
      <alignment horizontal="center" vertical="center" wrapText="1"/>
      <protection locked="0"/>
    </xf>
    <xf numFmtId="0" fontId="0" fillId="0" borderId="1" xfId="0" applyBorder="1">
      <alignment vertical="center"/>
    </xf>
    <xf numFmtId="0" fontId="17" fillId="0" borderId="2" xfId="54" applyFont="1" applyBorder="1" applyAlignment="1">
      <alignment vertical="center"/>
      <protection locked="0"/>
    </xf>
    <xf numFmtId="0" fontId="36" fillId="0" borderId="2" xfId="54" applyFont="1" applyBorder="1" applyAlignment="1" applyProtection="1">
      <alignment vertical="center"/>
    </xf>
    <xf numFmtId="0" fontId="36" fillId="0" borderId="2" xfId="54" applyFont="1" applyBorder="1" applyAlignment="1" applyProtection="1">
      <alignment horizontal="right" vertical="center"/>
    </xf>
    <xf numFmtId="178" fontId="36" fillId="0" borderId="2" xfId="54" applyNumberFormat="1" applyFont="1" applyBorder="1" applyAlignment="1">
      <alignment vertical="center"/>
      <protection locked="0"/>
    </xf>
    <xf numFmtId="181" fontId="36" fillId="0" borderId="2" xfId="54" applyNumberFormat="1" applyFont="1" applyBorder="1" applyAlignment="1" applyProtection="1">
      <alignment horizontal="right" vertical="center"/>
    </xf>
    <xf numFmtId="181" fontId="36" fillId="0" borderId="2" xfId="54" applyNumberFormat="1" applyFont="1" applyBorder="1" applyAlignment="1" applyProtection="1">
      <alignment vertical="center"/>
    </xf>
    <xf numFmtId="0" fontId="36" fillId="0" borderId="2" xfId="54" applyFont="1" applyBorder="1" applyAlignment="1">
      <alignment vertical="center"/>
      <protection locked="0"/>
    </xf>
    <xf numFmtId="0" fontId="36" fillId="0" borderId="2" xfId="54" applyNumberFormat="1" applyFont="1" applyBorder="1" applyAlignment="1" applyProtection="1">
      <alignment horizontal="right" vertical="center"/>
    </xf>
    <xf numFmtId="0" fontId="36" fillId="0" borderId="2" xfId="0" applyFont="1" applyBorder="1">
      <alignment vertical="center"/>
    </xf>
    <xf numFmtId="178" fontId="36" fillId="0" borderId="2" xfId="0" applyNumberFormat="1" applyFont="1" applyBorder="1">
      <alignment vertical="center"/>
    </xf>
    <xf numFmtId="181" fontId="17" fillId="0" borderId="0" xfId="54" applyNumberFormat="1" applyFont="1" applyBorder="1" applyAlignment="1" applyProtection="1">
      <alignment horizontal="right" vertical="center"/>
    </xf>
    <xf numFmtId="184" fontId="0" fillId="0" borderId="0" xfId="0" applyNumberFormat="1">
      <alignment vertical="center"/>
    </xf>
    <xf numFmtId="178" fontId="17" fillId="0" borderId="0" xfId="54" applyNumberFormat="1" applyFont="1" applyBorder="1" applyAlignment="1" applyProtection="1">
      <alignment horizontal="right" vertical="center"/>
    </xf>
    <xf numFmtId="181" fontId="17" fillId="0" borderId="2" xfId="0" applyNumberFormat="1" applyFont="1" applyFill="1" applyBorder="1" applyProtection="1">
      <alignment vertical="center"/>
      <protection locked="0"/>
    </xf>
    <xf numFmtId="181" fontId="36" fillId="0" borderId="2" xfId="0" applyNumberFormat="1" applyFont="1" applyBorder="1">
      <alignment vertical="center"/>
    </xf>
    <xf numFmtId="0" fontId="47" fillId="0" borderId="2" xfId="54" applyFont="1" applyBorder="1" applyAlignment="1">
      <alignment horizontal="center" vertical="center"/>
      <protection locked="0"/>
    </xf>
    <xf numFmtId="0" fontId="45" fillId="0" borderId="2" xfId="54" applyFont="1" applyBorder="1" applyAlignment="1" applyProtection="1">
      <alignment horizontal="center" vertical="center"/>
    </xf>
    <xf numFmtId="0" fontId="45" fillId="0" borderId="2" xfId="54" applyFont="1" applyFill="1" applyBorder="1" applyAlignment="1">
      <alignment horizontal="center" vertical="center"/>
      <protection locked="0"/>
    </xf>
    <xf numFmtId="181" fontId="45" fillId="0" borderId="2" xfId="54" applyNumberFormat="1" applyFont="1" applyFill="1" applyBorder="1" applyAlignment="1" applyProtection="1">
      <alignment horizontal="right" vertical="center"/>
    </xf>
    <xf numFmtId="0" fontId="45" fillId="0" borderId="2" xfId="54" applyFont="1" applyBorder="1" applyAlignment="1">
      <alignment horizontal="center" vertical="center"/>
      <protection locked="0"/>
    </xf>
    <xf numFmtId="0" fontId="45" fillId="0" borderId="2" xfId="54" applyFont="1" applyBorder="1" applyAlignment="1" applyProtection="1">
      <alignment vertical="center"/>
    </xf>
    <xf numFmtId="0" fontId="11" fillId="0" borderId="0" xfId="0" applyFont="1" applyBorder="1">
      <alignment vertical="center"/>
    </xf>
    <xf numFmtId="0" fontId="12" fillId="0" borderId="2" xfId="49" applyFont="1" applyFill="1" applyBorder="1" applyAlignment="1" applyProtection="1">
      <alignment vertical="center" wrapText="1"/>
    </xf>
    <xf numFmtId="1" fontId="45" fillId="0" borderId="2" xfId="54" applyNumberFormat="1" applyFont="1" applyBorder="1" applyAlignment="1" applyProtection="1">
      <alignment vertical="center"/>
    </xf>
    <xf numFmtId="1" fontId="45" fillId="0" borderId="2" xfId="54" applyNumberFormat="1" applyFont="1" applyBorder="1" applyAlignment="1">
      <alignment horizontal="left" vertical="center"/>
      <protection locked="0"/>
    </xf>
    <xf numFmtId="1" fontId="45" fillId="0" borderId="2" xfId="54" applyNumberFormat="1" applyFont="1" applyBorder="1" applyAlignment="1">
      <alignment vertical="center"/>
      <protection locked="0"/>
    </xf>
    <xf numFmtId="1" fontId="36" fillId="0" borderId="2" xfId="54" applyNumberFormat="1" applyFont="1" applyBorder="1" applyAlignment="1">
      <alignment horizontal="right" vertical="center"/>
      <protection locked="0"/>
    </xf>
    <xf numFmtId="1" fontId="36" fillId="0" borderId="2" xfId="54" applyNumberFormat="1" applyFont="1" applyBorder="1" applyAlignment="1">
      <alignment horizontal="left" vertical="center" indent="1"/>
      <protection locked="0"/>
    </xf>
    <xf numFmtId="1" fontId="36" fillId="0" borderId="2" xfId="54" applyNumberFormat="1" applyFont="1" applyBorder="1" applyAlignment="1" applyProtection="1">
      <alignment horizontal="left" vertical="center"/>
    </xf>
    <xf numFmtId="179" fontId="36" fillId="0" borderId="2" xfId="54" applyNumberFormat="1" applyFont="1" applyBorder="1" applyAlignment="1">
      <alignment vertical="center"/>
      <protection locked="0"/>
    </xf>
    <xf numFmtId="1" fontId="36" fillId="0" borderId="2" xfId="54" applyNumberFormat="1" applyFont="1" applyBorder="1" applyAlignment="1">
      <alignment vertical="center"/>
      <protection locked="0"/>
    </xf>
    <xf numFmtId="1" fontId="36" fillId="0" borderId="2" xfId="54" applyNumberFormat="1" applyFont="1" applyBorder="1" applyAlignment="1" applyProtection="1">
      <alignment vertical="center"/>
    </xf>
    <xf numFmtId="1" fontId="36" fillId="0" borderId="2" xfId="54" applyNumberFormat="1" applyFont="1" applyBorder="1" applyAlignment="1">
      <alignment horizontal="left" vertical="center"/>
      <protection locked="0"/>
    </xf>
    <xf numFmtId="1" fontId="48" fillId="0" borderId="0" xfId="54" applyNumberFormat="1" applyFont="1" applyBorder="1" applyAlignment="1">
      <alignment horizontal="left" vertical="center" indent="1"/>
      <protection locked="0"/>
    </xf>
    <xf numFmtId="1" fontId="17" fillId="0" borderId="0" xfId="54" applyNumberFormat="1" applyFont="1" applyBorder="1" applyAlignment="1">
      <alignment vertical="center"/>
      <protection locked="0"/>
    </xf>
    <xf numFmtId="0" fontId="17" fillId="0" borderId="2" xfId="49" applyFont="1" applyFill="1" applyBorder="1" applyAlignment="1" applyProtection="1">
      <alignment vertical="center" wrapText="1"/>
    </xf>
    <xf numFmtId="0" fontId="36" fillId="0" borderId="2" xfId="54" applyNumberFormat="1" applyFont="1" applyBorder="1" applyAlignment="1">
      <alignment horizontal="right" vertical="center"/>
      <protection locked="0"/>
    </xf>
    <xf numFmtId="1" fontId="48" fillId="0" borderId="0" xfId="54" applyNumberFormat="1" applyFont="1" applyBorder="1" applyAlignment="1">
      <alignment vertical="center"/>
      <protection locked="0"/>
    </xf>
    <xf numFmtId="0" fontId="47" fillId="0" borderId="2" xfId="54" applyNumberFormat="1" applyFont="1" applyBorder="1" applyAlignment="1">
      <alignment vertical="center"/>
      <protection locked="0"/>
    </xf>
    <xf numFmtId="0" fontId="48" fillId="0" borderId="0" xfId="54" applyNumberFormat="1" applyFont="1" applyBorder="1" applyAlignment="1">
      <alignment horizontal="left" vertical="center" indent="1"/>
      <protection locked="0"/>
    </xf>
    <xf numFmtId="0" fontId="17" fillId="0" borderId="0" xfId="54" applyNumberFormat="1" applyFont="1" applyBorder="1" applyAlignment="1">
      <alignment vertical="center"/>
      <protection locked="0"/>
    </xf>
    <xf numFmtId="0" fontId="17" fillId="0" borderId="0" xfId="0" applyFont="1">
      <alignment vertical="center"/>
    </xf>
    <xf numFmtId="0" fontId="36" fillId="0" borderId="29" xfId="0" applyFont="1" applyBorder="1">
      <alignment vertical="center"/>
    </xf>
    <xf numFmtId="0" fontId="17" fillId="0" borderId="0" xfId="54" applyNumberFormat="1" applyFont="1" applyBorder="1" applyAlignment="1" applyProtection="1">
      <alignment vertical="center"/>
    </xf>
    <xf numFmtId="0" fontId="17" fillId="0" borderId="2" xfId="0" applyFont="1" applyBorder="1">
      <alignment vertical="center"/>
    </xf>
    <xf numFmtId="0" fontId="47" fillId="0" borderId="2" xfId="0" applyFont="1" applyBorder="1">
      <alignment vertical="center"/>
    </xf>
    <xf numFmtId="181" fontId="36" fillId="0" borderId="2" xfId="49" applyNumberFormat="1" applyFont="1" applyFill="1" applyBorder="1" applyAlignment="1" applyProtection="1">
      <alignment horizontal="right" vertical="center" wrapText="1"/>
    </xf>
    <xf numFmtId="0" fontId="45" fillId="0" borderId="2" xfId="54" applyNumberFormat="1" applyFont="1" applyBorder="1" applyAlignment="1">
      <alignment horizontal="left" vertical="center"/>
      <protection locked="0"/>
    </xf>
    <xf numFmtId="181" fontId="45" fillId="0" borderId="2" xfId="54" applyNumberFormat="1" applyFont="1" applyBorder="1" applyAlignment="1" applyProtection="1">
      <alignment vertical="center"/>
    </xf>
    <xf numFmtId="0" fontId="36" fillId="0" borderId="2" xfId="54" applyNumberFormat="1" applyFont="1" applyBorder="1" applyAlignment="1">
      <alignment horizontal="left" vertical="center"/>
      <protection locked="0"/>
    </xf>
    <xf numFmtId="1" fontId="36" fillId="0" borderId="2" xfId="0" applyNumberFormat="1" applyFont="1" applyBorder="1">
      <alignment vertical="center"/>
    </xf>
    <xf numFmtId="0" fontId="48" fillId="0" borderId="0" xfId="54" applyNumberFormat="1" applyFont="1" applyBorder="1" applyAlignment="1">
      <alignment vertical="center"/>
      <protection locked="0"/>
    </xf>
    <xf numFmtId="49" fontId="17" fillId="0" borderId="2" xfId="52" applyNumberFormat="1" applyFont="1" applyFill="1" applyBorder="1" applyAlignment="1" applyProtection="1">
      <alignment horizontal="left" vertical="center" wrapText="1" shrinkToFit="1"/>
    </xf>
    <xf numFmtId="0" fontId="48" fillId="0" borderId="0" xfId="0" applyFont="1" applyBorder="1">
      <alignment vertical="center"/>
    </xf>
    <xf numFmtId="0" fontId="17" fillId="0" borderId="0" xfId="54" applyFont="1" applyBorder="1" applyAlignment="1">
      <alignment vertical="center"/>
      <protection locked="0"/>
    </xf>
    <xf numFmtId="0" fontId="17" fillId="0" borderId="2" xfId="49" applyFont="1" applyFill="1" applyBorder="1" applyAlignment="1" applyProtection="1">
      <alignment vertical="center"/>
    </xf>
    <xf numFmtId="0" fontId="48" fillId="0" borderId="0" xfId="54" applyFont="1" applyAlignment="1">
      <alignment horizontal="left" vertical="center" indent="1"/>
      <protection locked="0"/>
    </xf>
    <xf numFmtId="0" fontId="17" fillId="0" borderId="0" xfId="54" applyFont="1" applyAlignment="1">
      <alignment vertical="center"/>
      <protection locked="0"/>
    </xf>
    <xf numFmtId="0" fontId="26" fillId="0" borderId="2" xfId="49" applyFont="1" applyFill="1" applyBorder="1" applyAlignment="1" applyProtection="1">
      <alignment vertical="center"/>
    </xf>
    <xf numFmtId="0" fontId="48" fillId="0" borderId="0" xfId="54" applyNumberFormat="1" applyFont="1" applyAlignment="1">
      <alignment horizontal="left" vertical="center" indent="1"/>
      <protection locked="0"/>
    </xf>
    <xf numFmtId="0" fontId="36" fillId="0" borderId="2" xfId="54" applyFont="1" applyBorder="1" applyAlignment="1">
      <alignment horizontal="right" vertical="center"/>
      <protection locked="0"/>
    </xf>
    <xf numFmtId="0" fontId="12" fillId="0" borderId="2" xfId="54" applyFont="1" applyBorder="1" applyAlignment="1">
      <alignment horizontal="left" vertical="center"/>
      <protection locked="0"/>
    </xf>
    <xf numFmtId="0" fontId="12" fillId="0" borderId="2" xfId="54" applyFont="1" applyBorder="1" applyAlignment="1">
      <alignment horizontal="left" vertical="center" indent="1"/>
      <protection locked="0"/>
    </xf>
    <xf numFmtId="0" fontId="12" fillId="0" borderId="2" xfId="54" applyFont="1" applyBorder="1" applyAlignment="1">
      <alignment vertical="center"/>
      <protection locked="0"/>
    </xf>
    <xf numFmtId="0" fontId="11" fillId="0" borderId="2" xfId="54" applyFont="1" applyBorder="1" applyAlignment="1">
      <alignment horizontal="center" vertical="center"/>
      <protection locked="0"/>
    </xf>
    <xf numFmtId="1" fontId="36" fillId="0" borderId="2" xfId="54" applyNumberFormat="1" applyFont="1" applyBorder="1" applyAlignment="1" applyProtection="1">
      <alignment horizontal="right" vertical="center"/>
    </xf>
    <xf numFmtId="0" fontId="8" fillId="0" borderId="2" xfId="54" applyFont="1" applyBorder="1" applyAlignment="1">
      <alignment horizontal="center" vertical="center"/>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_Sheet2" xfId="50"/>
    <cellStyle name="常规_2005年预算表(综合）" xfId="51"/>
    <cellStyle name="常规_2011年全省结算汇总表2012(1).03.28定稿 2 2" xfId="52"/>
    <cellStyle name="Normal" xfId="53"/>
    <cellStyle name="常规_Sheet1" xfId="54"/>
    <cellStyle name="常规_Sheet4" xfId="55"/>
  </cellStyles>
  <dxfs count="1">
    <dxf>
      <font>
        <color indexed="9"/>
      </font>
    </dxf>
  </dxf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udit\&#28165;&#21326;&#21516;&#26041;\&#27169;&#29256;04\&#21516;&#26041;2004&#38468;&#27880;&#27169;&#2649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8&#24180;\2018&#24180;&#37096;&#38376;&#39044;&#31639;\&#22320;&#26041;&#36130;&#25919;&#39044;&#31639;&#25253;&#34920;\&#19996;&#23433;&#21439;2018&#24180;&#22320;&#26041;&#36130;&#25919;&#39044;&#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母公司账套名称"/>
      <sheetName val="关联方一览表"/>
      <sheetName val="合并对帐表"/>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减值准备"/>
      <sheetName val="货币资金"/>
      <sheetName val="短期投资"/>
      <sheetName val="应收票据"/>
      <sheetName val="应收票据质押"/>
      <sheetName val="应收账款"/>
      <sheetName val="应收账款前5名"/>
      <sheetName val="其他应收款"/>
      <sheetName val="其他应收款前5名"/>
      <sheetName val="预付账款"/>
      <sheetName val="存货"/>
      <sheetName val="待摊费用"/>
      <sheetName val="长期股权投资"/>
      <sheetName val="股权投资差额"/>
      <sheetName val="固定资产"/>
      <sheetName val="在建工程"/>
      <sheetName val="在建工程减值准备"/>
      <sheetName val="无形资产"/>
      <sheetName val="无形资产减值准备"/>
      <sheetName val="长期待摊费用"/>
      <sheetName val="短期借款"/>
      <sheetName val="短期借款-逾期"/>
      <sheetName val="提供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专项应付款"/>
      <sheetName val="主营业务收入前5名"/>
      <sheetName val="主营业务税金及附加"/>
      <sheetName val="其他业务利润"/>
      <sheetName val="财务费用"/>
      <sheetName val="投资收益"/>
      <sheetName val="补贴收入"/>
      <sheetName val="营业外收支"/>
      <sheetName val="营业外收支03"/>
      <sheetName val="利润表补充资料"/>
      <sheetName val="非经常性损益"/>
      <sheetName val="#REF"/>
      <sheetName val="同方2004附注模板"/>
      <sheetName val="母公司报表"/>
      <sheetName val="综合成本分析01.01-0205"/>
      <sheetName val="FY02"/>
      <sheetName val=""/>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封面"/>
      <sheetName val="目录"/>
      <sheetName val="表一"/>
      <sheetName val="表二"/>
      <sheetName val="表三"/>
      <sheetName val="表四"/>
      <sheetName val="表五"/>
      <sheetName val="表六 (1)"/>
      <sheetName val="表六（2)"/>
      <sheetName val="表七 (1)"/>
      <sheetName val="表七(2)"/>
      <sheetName val="表八"/>
      <sheetName val="表九"/>
      <sheetName val="表十"/>
      <sheetName val="表十一"/>
      <sheetName val="表十二"/>
      <sheetName val="表十三"/>
      <sheetName val="表十四"/>
      <sheetName val="表十五"/>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7"/>
  <sheetViews>
    <sheetView showZeros="0" workbookViewId="0">
      <selection activeCell="F32" sqref="F32"/>
    </sheetView>
  </sheetViews>
  <sheetFormatPr defaultColWidth="9" defaultRowHeight="15.75"/>
  <cols>
    <col min="1" max="1" width="30.625" customWidth="1"/>
    <col min="2" max="3" width="7.125" style="155" customWidth="1"/>
    <col min="4" max="5" width="6.375" style="155" customWidth="1"/>
    <col min="6" max="6" width="23.75" style="155" customWidth="1"/>
    <col min="7" max="9" width="6.75" style="155" customWidth="1"/>
    <col min="10" max="10" width="6.625" style="155" customWidth="1"/>
    <col min="11" max="11" width="19.25" style="155" customWidth="1"/>
    <col min="12" max="13" width="6.25" style="155" customWidth="1"/>
    <col min="14" max="14" width="5.625" style="155" customWidth="1"/>
    <col min="15" max="15" width="6.625" style="155" customWidth="1"/>
    <col min="16" max="16" width="44.125" customWidth="1"/>
    <col min="17" max="17" width="13" customWidth="1"/>
  </cols>
  <sheetData>
    <row r="1" ht="27.95" customHeight="1" spans="1:22">
      <c r="A1" s="433" t="s">
        <v>0</v>
      </c>
      <c r="B1" s="434"/>
      <c r="C1" s="434"/>
      <c r="D1" s="434"/>
      <c r="E1" s="434"/>
      <c r="F1" s="434"/>
      <c r="G1" s="434"/>
      <c r="H1" s="434"/>
      <c r="I1" s="434"/>
      <c r="J1" s="434"/>
      <c r="K1" s="434"/>
      <c r="L1" s="434"/>
      <c r="M1" s="434"/>
      <c r="N1" s="434"/>
      <c r="O1" s="434"/>
    </row>
    <row r="2" ht="18.95" customHeight="1" spans="1:22">
      <c r="A2" s="435"/>
      <c r="B2" s="436"/>
      <c r="C2" s="436"/>
      <c r="D2" s="437"/>
      <c r="E2" s="437"/>
      <c r="F2" s="438">
        <v>45005</v>
      </c>
      <c r="G2" s="439"/>
      <c r="H2" s="439"/>
      <c r="I2" s="437"/>
      <c r="J2" s="437"/>
      <c r="K2" s="440"/>
      <c r="L2" s="441"/>
      <c r="M2" s="442" t="s">
        <v>1</v>
      </c>
      <c r="N2" s="442"/>
      <c r="O2" s="442"/>
    </row>
    <row r="3" ht="18.75" spans="1:22">
      <c r="A3" s="443" t="s">
        <v>2</v>
      </c>
      <c r="B3" s="444"/>
      <c r="C3" s="444"/>
      <c r="D3" s="444"/>
      <c r="E3" s="444"/>
      <c r="F3" s="444" t="s">
        <v>3</v>
      </c>
      <c r="G3" s="444"/>
      <c r="H3" s="444"/>
      <c r="I3" s="444"/>
      <c r="J3" s="444"/>
      <c r="K3" s="444"/>
      <c r="L3" s="444"/>
      <c r="M3" s="444"/>
      <c r="N3" s="444"/>
      <c r="O3" s="444"/>
    </row>
    <row r="4" ht="18.95" customHeight="1" spans="1:22">
      <c r="A4" s="445" t="s">
        <v>4</v>
      </c>
      <c r="B4" s="446" t="s">
        <v>5</v>
      </c>
      <c r="C4" s="446" t="s">
        <v>6</v>
      </c>
      <c r="D4" s="447" t="s">
        <v>7</v>
      </c>
      <c r="E4" s="447"/>
      <c r="F4" s="448" t="s">
        <v>8</v>
      </c>
      <c r="G4" s="446" t="s">
        <v>5</v>
      </c>
      <c r="H4" s="446" t="s">
        <v>6</v>
      </c>
      <c r="I4" s="447" t="s">
        <v>7</v>
      </c>
      <c r="J4" s="447"/>
      <c r="K4" s="448" t="s">
        <v>9</v>
      </c>
      <c r="L4" s="446" t="s">
        <v>5</v>
      </c>
      <c r="M4" s="446" t="s">
        <v>6</v>
      </c>
      <c r="N4" s="447" t="s">
        <v>7</v>
      </c>
      <c r="O4" s="447"/>
      <c r="T4" s="227"/>
    </row>
    <row r="5" ht="21" customHeight="1" spans="1:22">
      <c r="A5" s="445"/>
      <c r="B5" s="446"/>
      <c r="C5" s="446"/>
      <c r="D5" s="447" t="s">
        <v>10</v>
      </c>
      <c r="E5" s="447" t="s">
        <v>11</v>
      </c>
      <c r="F5" s="448"/>
      <c r="G5" s="446"/>
      <c r="H5" s="446"/>
      <c r="I5" s="447" t="s">
        <v>10</v>
      </c>
      <c r="J5" s="447" t="s">
        <v>11</v>
      </c>
      <c r="K5" s="448"/>
      <c r="L5" s="446"/>
      <c r="M5" s="446"/>
      <c r="N5" s="447" t="s">
        <v>10</v>
      </c>
      <c r="O5" s="447" t="s">
        <v>11</v>
      </c>
      <c r="Q5" s="227"/>
      <c r="V5" s="449"/>
    </row>
    <row r="6" ht="16" customHeight="1" spans="1:22">
      <c r="A6" s="450" t="s">
        <v>12</v>
      </c>
      <c r="B6" s="451">
        <v>91011</v>
      </c>
      <c r="C6" s="451">
        <v>82300</v>
      </c>
      <c r="D6" s="452">
        <v>8711</v>
      </c>
      <c r="E6" s="453">
        <v>10.584447144593</v>
      </c>
      <c r="F6" s="450" t="s">
        <v>13</v>
      </c>
      <c r="G6" s="454">
        <v>51624.82362369</v>
      </c>
      <c r="H6" s="454">
        <v>50766.886704</v>
      </c>
      <c r="I6" s="455">
        <v>857.936919690001</v>
      </c>
      <c r="J6" s="453">
        <v>1.68995377772969</v>
      </c>
      <c r="K6" s="450" t="s">
        <v>14</v>
      </c>
      <c r="L6" s="456">
        <v>124287</v>
      </c>
      <c r="M6" s="457">
        <v>114655</v>
      </c>
      <c r="N6" s="458">
        <v>9632</v>
      </c>
      <c r="O6" s="459">
        <v>8.40085473812742</v>
      </c>
      <c r="Q6" s="460"/>
    </row>
    <row r="7" ht="16" customHeight="1" spans="1:22">
      <c r="A7" s="450" t="s">
        <v>15</v>
      </c>
      <c r="B7" s="451">
        <v>39000</v>
      </c>
      <c r="C7" s="451">
        <v>30830</v>
      </c>
      <c r="D7" s="452">
        <v>8170</v>
      </c>
      <c r="E7" s="453">
        <v>26.5001621796951</v>
      </c>
      <c r="F7" s="450" t="s">
        <v>16</v>
      </c>
      <c r="G7" s="454">
        <v>266</v>
      </c>
      <c r="H7" s="454">
        <v>274</v>
      </c>
      <c r="I7" s="455">
        <v>-8</v>
      </c>
      <c r="J7" s="453">
        <v>-2.91970802919708</v>
      </c>
      <c r="K7" s="450" t="s">
        <v>17</v>
      </c>
      <c r="L7" s="456">
        <v>51699</v>
      </c>
      <c r="M7" s="457">
        <v>55229</v>
      </c>
      <c r="N7" s="458">
        <v>-3530</v>
      </c>
      <c r="O7" s="459">
        <v>-6.39156964638143</v>
      </c>
      <c r="Q7" s="460"/>
    </row>
    <row r="8" ht="16" customHeight="1" spans="1:22">
      <c r="A8" s="450" t="s">
        <v>18</v>
      </c>
      <c r="B8" s="451"/>
      <c r="C8" s="451"/>
      <c r="D8" s="452">
        <v>0</v>
      </c>
      <c r="E8" s="453"/>
      <c r="F8" s="450" t="s">
        <v>19</v>
      </c>
      <c r="G8" s="454">
        <v>13921.1141215</v>
      </c>
      <c r="H8" s="454">
        <v>13453.772928</v>
      </c>
      <c r="I8" s="455">
        <v>467.341193499999</v>
      </c>
      <c r="J8" s="453">
        <v>3.47368129372369</v>
      </c>
      <c r="K8" s="456" t="s">
        <v>20</v>
      </c>
      <c r="L8" s="456">
        <v>14564</v>
      </c>
      <c r="M8" s="457">
        <v>15537</v>
      </c>
      <c r="N8" s="458">
        <v>-973</v>
      </c>
      <c r="O8" s="459">
        <v>-6.26247023234859</v>
      </c>
      <c r="Q8" s="460"/>
      <c r="R8" s="461"/>
    </row>
    <row r="9" ht="16" customHeight="1" spans="1:22">
      <c r="A9" s="450"/>
      <c r="B9" s="456"/>
      <c r="C9" s="456"/>
      <c r="D9" s="452">
        <v>0</v>
      </c>
      <c r="E9" s="453"/>
      <c r="F9" s="450" t="s">
        <v>21</v>
      </c>
      <c r="G9" s="454">
        <v>90993.37685169</v>
      </c>
      <c r="H9" s="454">
        <v>86485.401312</v>
      </c>
      <c r="I9" s="455">
        <v>4507.97553969</v>
      </c>
      <c r="J9" s="453">
        <v>5.21241211962152</v>
      </c>
      <c r="K9" s="456" t="s">
        <v>22</v>
      </c>
      <c r="L9" s="456">
        <v>132061</v>
      </c>
      <c r="M9" s="457">
        <v>123601</v>
      </c>
      <c r="N9" s="458">
        <v>8460</v>
      </c>
      <c r="O9" s="459">
        <v>6.84460481711313</v>
      </c>
      <c r="Q9" s="460"/>
      <c r="R9" s="402"/>
    </row>
    <row r="10" ht="16" customHeight="1" spans="1:22">
      <c r="A10" s="450" t="s">
        <v>23</v>
      </c>
      <c r="B10" s="456"/>
      <c r="C10" s="456"/>
      <c r="D10" s="452">
        <v>0</v>
      </c>
      <c r="E10" s="453"/>
      <c r="F10" s="450" t="s">
        <v>24</v>
      </c>
      <c r="G10" s="454">
        <v>1836.19114739</v>
      </c>
      <c r="H10" s="454">
        <v>974.336336</v>
      </c>
      <c r="I10" s="455">
        <v>861.85481139</v>
      </c>
      <c r="J10" s="453">
        <v>88.4555753024898</v>
      </c>
      <c r="K10" s="456" t="s">
        <v>25</v>
      </c>
      <c r="L10" s="456">
        <v>11046</v>
      </c>
      <c r="M10" s="457">
        <v>8422</v>
      </c>
      <c r="N10" s="458">
        <v>2624</v>
      </c>
      <c r="O10" s="459">
        <v>31.1564948943244</v>
      </c>
      <c r="Q10" s="462"/>
    </row>
    <row r="11" ht="16" customHeight="1" spans="1:22">
      <c r="A11" s="450" t="s">
        <v>23</v>
      </c>
      <c r="B11" s="456"/>
      <c r="C11" s="456"/>
      <c r="D11" s="452">
        <v>0</v>
      </c>
      <c r="E11" s="453"/>
      <c r="F11" s="450" t="s">
        <v>26</v>
      </c>
      <c r="G11" s="454">
        <v>4343.12922794</v>
      </c>
      <c r="H11" s="454">
        <v>4019</v>
      </c>
      <c r="I11" s="455">
        <v>324.12922794</v>
      </c>
      <c r="J11" s="453">
        <v>8.0649223174919</v>
      </c>
      <c r="K11" s="456" t="s">
        <v>27</v>
      </c>
      <c r="L11" s="456">
        <v>65098</v>
      </c>
      <c r="M11" s="457">
        <v>59279</v>
      </c>
      <c r="N11" s="458">
        <v>5819</v>
      </c>
      <c r="O11" s="459">
        <v>9.8162924475784</v>
      </c>
      <c r="Q11" s="460"/>
      <c r="R11" s="401"/>
    </row>
    <row r="12" ht="16" customHeight="1" spans="1:22">
      <c r="A12" s="450" t="s">
        <v>23</v>
      </c>
      <c r="B12" s="456"/>
      <c r="C12" s="456"/>
      <c r="D12" s="452">
        <v>0</v>
      </c>
      <c r="E12" s="453"/>
      <c r="F12" s="450" t="s">
        <v>28</v>
      </c>
      <c r="G12" s="454">
        <v>65141.96469882</v>
      </c>
      <c r="H12" s="454">
        <v>61480.57856</v>
      </c>
      <c r="I12" s="455">
        <v>3661.38613881999</v>
      </c>
      <c r="J12" s="453">
        <v>5.95535407209414</v>
      </c>
      <c r="K12" s="456" t="s">
        <v>29</v>
      </c>
      <c r="L12" s="456">
        <v>6660</v>
      </c>
      <c r="M12" s="457">
        <v>13500</v>
      </c>
      <c r="N12" s="458">
        <v>-6840</v>
      </c>
      <c r="O12" s="459">
        <v>-50.6666666666667</v>
      </c>
      <c r="Q12" s="460"/>
    </row>
    <row r="13" ht="16" customHeight="1" spans="1:22">
      <c r="A13" s="450" t="s">
        <v>23</v>
      </c>
      <c r="B13" s="456"/>
      <c r="C13" s="456"/>
      <c r="D13" s="452">
        <v>0</v>
      </c>
      <c r="E13" s="453"/>
      <c r="F13" s="450" t="s">
        <v>30</v>
      </c>
      <c r="G13" s="454">
        <v>53553.47494489</v>
      </c>
      <c r="H13" s="454">
        <v>51578.15784</v>
      </c>
      <c r="I13" s="455">
        <v>1975.31710489</v>
      </c>
      <c r="J13" s="453">
        <v>3.82975505061194</v>
      </c>
      <c r="K13" s="456" t="s">
        <v>31</v>
      </c>
      <c r="L13" s="456"/>
      <c r="M13" s="457"/>
      <c r="N13" s="458">
        <v>0</v>
      </c>
      <c r="O13" s="459">
        <v>0</v>
      </c>
      <c r="Q13" s="460"/>
    </row>
    <row r="14" ht="16" customHeight="1" spans="1:22">
      <c r="A14" s="450" t="s">
        <v>23</v>
      </c>
      <c r="B14" s="456"/>
      <c r="C14" s="456"/>
      <c r="D14" s="452">
        <v>0</v>
      </c>
      <c r="E14" s="453"/>
      <c r="F14" s="450" t="s">
        <v>32</v>
      </c>
      <c r="G14" s="454">
        <v>9342.8324716</v>
      </c>
      <c r="H14" s="454">
        <v>11060.638136</v>
      </c>
      <c r="I14" s="455">
        <v>-1717.8056644</v>
      </c>
      <c r="J14" s="453">
        <v>-15.5308006941201</v>
      </c>
      <c r="K14" s="456" t="s">
        <v>33</v>
      </c>
      <c r="L14" s="456"/>
      <c r="M14" s="457"/>
      <c r="N14" s="458">
        <v>0</v>
      </c>
      <c r="O14" s="459">
        <v>0</v>
      </c>
      <c r="Q14" s="460"/>
    </row>
    <row r="15" ht="16" customHeight="1" spans="1:22">
      <c r="A15" s="450" t="s">
        <v>23</v>
      </c>
      <c r="B15" s="456"/>
      <c r="C15" s="456"/>
      <c r="D15" s="452">
        <v>0</v>
      </c>
      <c r="E15" s="453"/>
      <c r="F15" s="450" t="s">
        <v>34</v>
      </c>
      <c r="G15" s="454">
        <v>7857.49563304</v>
      </c>
      <c r="H15" s="454">
        <v>7489.648244</v>
      </c>
      <c r="I15" s="455">
        <v>367.84738904</v>
      </c>
      <c r="J15" s="453">
        <v>4.9114107506275</v>
      </c>
      <c r="K15" s="456" t="s">
        <v>35</v>
      </c>
      <c r="L15" s="456">
        <v>5000</v>
      </c>
      <c r="M15" s="457">
        <v>5000</v>
      </c>
      <c r="N15" s="458">
        <v>0</v>
      </c>
      <c r="O15" s="459">
        <v>0</v>
      </c>
      <c r="Q15" s="460"/>
    </row>
    <row r="16" ht="16" customHeight="1" spans="1:22">
      <c r="A16" s="450" t="s">
        <v>23</v>
      </c>
      <c r="B16" s="456"/>
      <c r="C16" s="456"/>
      <c r="D16" s="452">
        <v>0</v>
      </c>
      <c r="E16" s="453"/>
      <c r="F16" s="450" t="s">
        <v>36</v>
      </c>
      <c r="G16" s="454">
        <v>70742.58413403</v>
      </c>
      <c r="H16" s="454">
        <v>64259.384832</v>
      </c>
      <c r="I16" s="455">
        <v>6483.19930202999</v>
      </c>
      <c r="J16" s="453">
        <v>10.0891088811069</v>
      </c>
      <c r="K16" s="456" t="s">
        <v>37</v>
      </c>
      <c r="L16" s="456">
        <v>2739</v>
      </c>
      <c r="M16" s="457">
        <v>4988</v>
      </c>
      <c r="N16" s="458">
        <v>-2249</v>
      </c>
      <c r="O16" s="459">
        <v>-45.0882117080994</v>
      </c>
      <c r="Q16" s="460"/>
    </row>
    <row r="17" ht="16" customHeight="1" spans="1:18">
      <c r="A17" s="450" t="s">
        <v>23</v>
      </c>
      <c r="B17" s="456"/>
      <c r="C17" s="456"/>
      <c r="D17" s="452">
        <v>0</v>
      </c>
      <c r="E17" s="453"/>
      <c r="F17" s="450" t="s">
        <v>38</v>
      </c>
      <c r="G17" s="454">
        <v>12720.29979079</v>
      </c>
      <c r="H17" s="454">
        <v>7735.645368</v>
      </c>
      <c r="I17" s="455">
        <v>4984.65442279</v>
      </c>
      <c r="J17" s="453">
        <v>64.437473354324</v>
      </c>
      <c r="K17" s="456"/>
      <c r="L17" s="456"/>
      <c r="M17" s="456"/>
      <c r="N17" s="458">
        <v>0</v>
      </c>
      <c r="O17" s="459"/>
      <c r="Q17" s="460"/>
    </row>
    <row r="18" ht="16" customHeight="1" spans="1:18">
      <c r="A18" s="450" t="s">
        <v>23</v>
      </c>
      <c r="B18" s="456"/>
      <c r="C18" s="456"/>
      <c r="D18" s="452">
        <v>0</v>
      </c>
      <c r="E18" s="453"/>
      <c r="F18" s="463" t="s">
        <v>39</v>
      </c>
      <c r="G18" s="454">
        <v>1846.4</v>
      </c>
      <c r="H18" s="454">
        <v>3059</v>
      </c>
      <c r="I18" s="455">
        <v>-1212.6</v>
      </c>
      <c r="J18" s="453">
        <v>-39.6404053612292</v>
      </c>
      <c r="K18" s="456"/>
      <c r="L18" s="456"/>
      <c r="M18" s="456"/>
      <c r="N18" s="458">
        <v>0</v>
      </c>
      <c r="O18" s="459"/>
      <c r="Q18" s="460"/>
    </row>
    <row r="19" ht="16" customHeight="1" spans="1:18">
      <c r="A19" s="450" t="s">
        <v>23</v>
      </c>
      <c r="B19" s="456"/>
      <c r="C19" s="456"/>
      <c r="D19" s="452">
        <v>0</v>
      </c>
      <c r="E19" s="453"/>
      <c r="F19" s="463" t="s">
        <v>40</v>
      </c>
      <c r="G19" s="454">
        <v>1235.0126379</v>
      </c>
      <c r="H19" s="454">
        <v>895.386328</v>
      </c>
      <c r="I19" s="455">
        <v>339.6263099</v>
      </c>
      <c r="J19" s="453">
        <v>37.9307008918278</v>
      </c>
      <c r="K19" s="456"/>
      <c r="L19" s="456"/>
      <c r="M19" s="456"/>
      <c r="N19" s="458">
        <v>0</v>
      </c>
      <c r="O19" s="459"/>
      <c r="Q19" s="460">
        <v>0</v>
      </c>
    </row>
    <row r="20" ht="16" customHeight="1" spans="1:18">
      <c r="A20" s="450"/>
      <c r="B20" s="456"/>
      <c r="C20" s="456"/>
      <c r="D20" s="452">
        <v>0</v>
      </c>
      <c r="E20" s="453"/>
      <c r="F20" s="463" t="s">
        <v>41</v>
      </c>
      <c r="G20" s="454">
        <v>4153.37285559</v>
      </c>
      <c r="H20" s="454">
        <v>3895.777792</v>
      </c>
      <c r="I20" s="455">
        <v>257.59506359</v>
      </c>
      <c r="J20" s="453">
        <v>6.61216007029386</v>
      </c>
      <c r="K20" s="456"/>
      <c r="L20" s="456"/>
      <c r="M20" s="456"/>
      <c r="N20" s="458">
        <v>0</v>
      </c>
      <c r="O20" s="459"/>
      <c r="Q20" s="460"/>
    </row>
    <row r="21" ht="16" customHeight="1" spans="1:18">
      <c r="A21" s="450"/>
      <c r="B21" s="456"/>
      <c r="C21" s="456"/>
      <c r="D21" s="452">
        <v>0</v>
      </c>
      <c r="E21" s="453"/>
      <c r="F21" s="463" t="s">
        <v>42</v>
      </c>
      <c r="G21" s="454">
        <v>4707</v>
      </c>
      <c r="H21" s="454">
        <v>5430</v>
      </c>
      <c r="I21" s="455">
        <v>-723</v>
      </c>
      <c r="J21" s="453">
        <v>-13.3149171270718</v>
      </c>
      <c r="K21" s="456"/>
      <c r="L21" s="456"/>
      <c r="M21" s="456"/>
      <c r="N21" s="458">
        <v>0</v>
      </c>
      <c r="O21" s="459"/>
      <c r="Q21" s="460"/>
    </row>
    <row r="22" ht="16" customHeight="1" spans="1:18">
      <c r="A22" s="450"/>
      <c r="B22" s="456"/>
      <c r="C22" s="456"/>
      <c r="D22" s="452">
        <v>0</v>
      </c>
      <c r="E22" s="453"/>
      <c r="F22" s="463" t="s">
        <v>43</v>
      </c>
      <c r="G22" s="454">
        <v>675.9589157</v>
      </c>
      <c r="H22" s="454">
        <v>712.779248</v>
      </c>
      <c r="I22" s="455">
        <v>-36.8203323</v>
      </c>
      <c r="J22" s="453">
        <v>-5.16574134324405</v>
      </c>
      <c r="K22" s="456"/>
      <c r="L22" s="456"/>
      <c r="M22" s="456"/>
      <c r="N22" s="458">
        <v>0</v>
      </c>
      <c r="O22" s="459"/>
      <c r="Q22" s="460"/>
    </row>
    <row r="23" ht="16" customHeight="1" spans="1:18">
      <c r="A23" s="450"/>
      <c r="B23" s="456"/>
      <c r="C23" s="456"/>
      <c r="D23" s="452"/>
      <c r="E23" s="453"/>
      <c r="F23" s="463" t="s">
        <v>44</v>
      </c>
      <c r="G23" s="454">
        <v>12</v>
      </c>
      <c r="H23" s="454">
        <v>120</v>
      </c>
      <c r="I23" s="455">
        <v>-108</v>
      </c>
      <c r="J23" s="453">
        <v>-90</v>
      </c>
      <c r="K23" s="456"/>
      <c r="L23" s="456"/>
      <c r="M23" s="456"/>
      <c r="N23" s="458"/>
      <c r="O23" s="459"/>
      <c r="Q23" s="460"/>
    </row>
    <row r="24" ht="16" customHeight="1" spans="1:18">
      <c r="A24" s="450"/>
      <c r="B24" s="456"/>
      <c r="C24" s="456"/>
      <c r="D24" s="452">
        <v>0</v>
      </c>
      <c r="E24" s="453"/>
      <c r="F24" s="463" t="s">
        <v>45</v>
      </c>
      <c r="G24" s="464">
        <v>2456.5967777</v>
      </c>
      <c r="H24" s="454">
        <v>3032.16884</v>
      </c>
      <c r="I24" s="455">
        <v>-575.5720623</v>
      </c>
      <c r="J24" s="453">
        <v>-18.9821903947803</v>
      </c>
      <c r="K24" s="456"/>
      <c r="L24" s="456"/>
      <c r="M24" s="456"/>
      <c r="N24" s="458">
        <v>0</v>
      </c>
      <c r="O24" s="459"/>
      <c r="Q24" s="460"/>
    </row>
    <row r="25" ht="16" customHeight="1" spans="1:18">
      <c r="A25" s="450"/>
      <c r="B25" s="456"/>
      <c r="C25" s="456"/>
      <c r="D25" s="452">
        <v>0</v>
      </c>
      <c r="E25" s="453"/>
      <c r="F25" s="463" t="s">
        <v>46</v>
      </c>
      <c r="G25" s="454">
        <v>5000</v>
      </c>
      <c r="H25" s="454">
        <v>5000</v>
      </c>
      <c r="I25" s="455">
        <v>0</v>
      </c>
      <c r="J25" s="453">
        <v>0</v>
      </c>
      <c r="K25" s="456"/>
      <c r="L25" s="456"/>
      <c r="M25" s="456"/>
      <c r="N25" s="458">
        <v>0</v>
      </c>
      <c r="O25" s="459"/>
      <c r="Q25" s="460"/>
    </row>
    <row r="26" ht="16" customHeight="1" spans="1:18">
      <c r="A26" s="450"/>
      <c r="B26" s="456"/>
      <c r="C26" s="456"/>
      <c r="D26" s="452">
        <v>0</v>
      </c>
      <c r="E26" s="453"/>
      <c r="F26" s="463" t="s">
        <v>47</v>
      </c>
      <c r="G26" s="454">
        <v>6660</v>
      </c>
      <c r="H26" s="454">
        <v>13500</v>
      </c>
      <c r="I26" s="455">
        <v>-6840</v>
      </c>
      <c r="J26" s="453">
        <v>-50.6666666666667</v>
      </c>
      <c r="K26" s="456"/>
      <c r="L26" s="456"/>
      <c r="M26" s="456"/>
      <c r="N26" s="458">
        <v>0</v>
      </c>
      <c r="O26" s="459"/>
      <c r="Q26" s="460"/>
    </row>
    <row r="27" ht="16" customHeight="1" spans="1:18">
      <c r="A27" s="450" t="s">
        <v>23</v>
      </c>
      <c r="B27" s="456"/>
      <c r="C27" s="456"/>
      <c r="D27" s="452">
        <v>0</v>
      </c>
      <c r="E27" s="453"/>
      <c r="F27" s="450" t="s">
        <v>48</v>
      </c>
      <c r="G27" s="454">
        <v>2729</v>
      </c>
      <c r="H27" s="454">
        <v>4988</v>
      </c>
      <c r="I27" s="455">
        <v>-2259</v>
      </c>
      <c r="J27" s="453">
        <v>-45.2886928628709</v>
      </c>
      <c r="K27" s="456"/>
      <c r="L27" s="456"/>
      <c r="M27" s="456"/>
      <c r="N27" s="458">
        <v>0</v>
      </c>
      <c r="O27" s="459"/>
      <c r="Q27" s="460"/>
    </row>
    <row r="28" s="152" customFormat="1" ht="16" customHeight="1" spans="1:18">
      <c r="A28" s="465" t="s">
        <v>49</v>
      </c>
      <c r="B28" s="466">
        <v>130011</v>
      </c>
      <c r="C28" s="466">
        <v>113130</v>
      </c>
      <c r="D28" s="452">
        <v>16881</v>
      </c>
      <c r="E28" s="453">
        <v>14.9217714134182</v>
      </c>
      <c r="F28" s="467" t="s">
        <v>50</v>
      </c>
      <c r="G28" s="468">
        <v>411818.62783227</v>
      </c>
      <c r="H28" s="468">
        <v>400210.562468</v>
      </c>
      <c r="I28" s="455">
        <v>11608.0653642699</v>
      </c>
      <c r="J28" s="453">
        <v>2.90048950549577</v>
      </c>
      <c r="K28" s="469" t="s">
        <v>50</v>
      </c>
      <c r="L28" s="470">
        <v>413154</v>
      </c>
      <c r="M28" s="470">
        <v>400211</v>
      </c>
      <c r="N28" s="458">
        <v>12943</v>
      </c>
      <c r="O28" s="459">
        <v>3.23404404176797</v>
      </c>
      <c r="Q28" s="471"/>
    </row>
    <row r="29" s="152" customFormat="1" ht="16" customHeight="1" spans="1:18">
      <c r="A29" s="472" t="s">
        <v>51</v>
      </c>
      <c r="B29" s="473">
        <v>270605</v>
      </c>
      <c r="C29" s="473">
        <v>257952</v>
      </c>
      <c r="D29" s="452">
        <v>12653</v>
      </c>
      <c r="E29" s="453">
        <v>4.90517615680437</v>
      </c>
      <c r="F29" s="474" t="s">
        <v>52</v>
      </c>
      <c r="G29" s="473">
        <v>8063</v>
      </c>
      <c r="H29" s="473">
        <v>3177</v>
      </c>
      <c r="I29" s="455">
        <v>4886</v>
      </c>
      <c r="J29" s="453">
        <v>153.79288637079</v>
      </c>
      <c r="K29" s="475" t="s">
        <v>52</v>
      </c>
      <c r="L29" s="475">
        <v>8063</v>
      </c>
      <c r="M29" s="475">
        <v>3177</v>
      </c>
      <c r="N29" s="458">
        <v>4886</v>
      </c>
      <c r="O29" s="459">
        <v>153.79288637079</v>
      </c>
    </row>
    <row r="30" ht="16" customHeight="1" spans="1:18">
      <c r="A30" s="472" t="s">
        <v>53</v>
      </c>
      <c r="B30" s="476">
        <v>7702</v>
      </c>
      <c r="C30" s="476">
        <v>7702</v>
      </c>
      <c r="D30" s="452">
        <v>0</v>
      </c>
      <c r="E30" s="453">
        <v>0</v>
      </c>
      <c r="F30" s="477" t="s">
        <v>54</v>
      </c>
      <c r="G30" s="478"/>
      <c r="H30" s="478"/>
      <c r="I30" s="455">
        <v>0</v>
      </c>
      <c r="J30" s="479">
        <v>0</v>
      </c>
      <c r="K30" s="480" t="s">
        <v>55</v>
      </c>
      <c r="L30" s="480"/>
      <c r="M30" s="480"/>
      <c r="N30" s="458">
        <v>0</v>
      </c>
      <c r="O30" s="459"/>
    </row>
    <row r="31" ht="16" customHeight="1" spans="1:18">
      <c r="A31" s="472" t="s">
        <v>56</v>
      </c>
      <c r="B31" s="476">
        <v>1855</v>
      </c>
      <c r="C31" s="476">
        <v>1855</v>
      </c>
      <c r="D31" s="452">
        <v>0</v>
      </c>
      <c r="E31" s="453">
        <v>0</v>
      </c>
      <c r="F31" s="477" t="s">
        <v>57</v>
      </c>
      <c r="G31" s="481"/>
      <c r="H31" s="481"/>
      <c r="I31" s="455">
        <v>0</v>
      </c>
      <c r="J31" s="479">
        <v>0</v>
      </c>
      <c r="K31" s="482"/>
      <c r="L31" s="482"/>
      <c r="M31" s="482"/>
      <c r="N31" s="458">
        <v>0</v>
      </c>
      <c r="O31" s="459"/>
      <c r="P31" s="483"/>
      <c r="Q31" s="484"/>
      <c r="R31" s="227"/>
    </row>
    <row r="32" ht="16" customHeight="1" spans="1:18">
      <c r="A32" s="472" t="s">
        <v>58</v>
      </c>
      <c r="B32" s="476">
        <v>620</v>
      </c>
      <c r="C32" s="476">
        <v>620</v>
      </c>
      <c r="D32" s="452">
        <v>0</v>
      </c>
      <c r="E32" s="453">
        <v>0</v>
      </c>
      <c r="F32" s="477" t="s">
        <v>59</v>
      </c>
      <c r="G32" s="481">
        <v>39</v>
      </c>
      <c r="H32" s="481">
        <v>39</v>
      </c>
      <c r="I32" s="455">
        <v>0</v>
      </c>
      <c r="J32" s="479">
        <v>0</v>
      </c>
      <c r="K32" s="477" t="s">
        <v>59</v>
      </c>
      <c r="L32" s="476">
        <v>39</v>
      </c>
      <c r="M32" s="476">
        <v>39</v>
      </c>
      <c r="N32" s="458">
        <v>0</v>
      </c>
      <c r="O32" s="459">
        <v>0</v>
      </c>
      <c r="P32" s="483"/>
      <c r="Q32" s="484"/>
      <c r="R32" s="227"/>
    </row>
    <row r="33" ht="16" customHeight="1" spans="1:18">
      <c r="A33" s="485" t="s">
        <v>60</v>
      </c>
      <c r="B33" s="486">
        <v>1455</v>
      </c>
      <c r="C33" s="486">
        <v>1455</v>
      </c>
      <c r="D33" s="452">
        <v>0</v>
      </c>
      <c r="E33" s="453">
        <v>0</v>
      </c>
      <c r="F33" s="477" t="s">
        <v>61</v>
      </c>
      <c r="G33" s="481">
        <v>8024</v>
      </c>
      <c r="H33" s="481">
        <v>3138</v>
      </c>
      <c r="I33" s="455">
        <v>4886</v>
      </c>
      <c r="J33" s="453">
        <v>155.704270235819</v>
      </c>
      <c r="K33" s="477" t="s">
        <v>61</v>
      </c>
      <c r="L33" s="486">
        <v>8024</v>
      </c>
      <c r="M33" s="486">
        <v>3138</v>
      </c>
      <c r="N33" s="458">
        <v>4886</v>
      </c>
      <c r="O33" s="459">
        <v>155.704270235819</v>
      </c>
      <c r="P33" s="487" t="s">
        <v>62</v>
      </c>
      <c r="Q33" s="484"/>
      <c r="R33" s="227"/>
    </row>
    <row r="34" ht="16" customHeight="1" spans="1:18">
      <c r="A34" s="472" t="s">
        <v>63</v>
      </c>
      <c r="B34" s="457">
        <v>3772</v>
      </c>
      <c r="C34" s="457">
        <v>3772</v>
      </c>
      <c r="D34" s="452">
        <v>0</v>
      </c>
      <c r="E34" s="453">
        <v>0</v>
      </c>
      <c r="F34" s="488" t="s">
        <v>64</v>
      </c>
      <c r="G34" s="457">
        <v>0</v>
      </c>
      <c r="H34" s="457"/>
      <c r="I34" s="455">
        <v>0</v>
      </c>
      <c r="J34" s="453"/>
      <c r="K34" s="488" t="s">
        <v>64</v>
      </c>
      <c r="L34" s="457">
        <v>0</v>
      </c>
      <c r="M34" s="457">
        <v>0</v>
      </c>
      <c r="N34" s="458">
        <v>0</v>
      </c>
      <c r="O34" s="459"/>
      <c r="P34" s="489"/>
      <c r="Q34" s="490"/>
      <c r="R34" s="227"/>
    </row>
    <row r="35" ht="16" customHeight="1" spans="1:18">
      <c r="A35" s="472" t="s">
        <v>65</v>
      </c>
      <c r="B35" s="457">
        <v>238197</v>
      </c>
      <c r="C35" s="457">
        <v>226986</v>
      </c>
      <c r="D35" s="452">
        <v>11211</v>
      </c>
      <c r="E35" s="453">
        <v>4.93907113214031</v>
      </c>
      <c r="F35" s="491" t="s">
        <v>66</v>
      </c>
      <c r="G35" s="492"/>
      <c r="H35" s="492"/>
      <c r="I35" s="455">
        <v>0</v>
      </c>
      <c r="J35" s="453"/>
      <c r="K35" s="491" t="s">
        <v>66</v>
      </c>
      <c r="L35" s="492"/>
      <c r="M35" s="492"/>
      <c r="N35" s="458">
        <v>0</v>
      </c>
      <c r="O35" s="459"/>
      <c r="P35" s="489"/>
      <c r="Q35" s="493"/>
      <c r="R35" s="227"/>
    </row>
    <row r="36" ht="16" customHeight="1" spans="1:18">
      <c r="A36" s="494" t="s">
        <v>67</v>
      </c>
      <c r="B36" s="458">
        <v>197</v>
      </c>
      <c r="C36" s="458">
        <v>197</v>
      </c>
      <c r="D36" s="458"/>
      <c r="E36" s="453">
        <v>0</v>
      </c>
      <c r="F36" s="495" t="s">
        <v>68</v>
      </c>
      <c r="G36" s="458"/>
      <c r="H36" s="458"/>
      <c r="I36" s="455">
        <v>0</v>
      </c>
      <c r="J36" s="453"/>
      <c r="K36" s="495" t="s">
        <v>68</v>
      </c>
      <c r="L36" s="458"/>
      <c r="M36" s="458"/>
      <c r="N36" s="458">
        <v>0</v>
      </c>
      <c r="O36" s="459"/>
      <c r="P36" s="489"/>
      <c r="Q36" s="493"/>
      <c r="R36" s="227"/>
    </row>
    <row r="37" ht="16" customHeight="1" spans="1:18">
      <c r="A37" s="485" t="s">
        <v>69</v>
      </c>
      <c r="B37" s="496">
        <v>60765</v>
      </c>
      <c r="C37" s="496">
        <v>56742</v>
      </c>
      <c r="D37" s="452">
        <v>4023</v>
      </c>
      <c r="E37" s="453">
        <v>7.08998625356879</v>
      </c>
      <c r="F37" s="497" t="s">
        <v>70</v>
      </c>
      <c r="G37" s="498">
        <v>1444.37216773006</v>
      </c>
      <c r="H37" s="498">
        <v>6</v>
      </c>
      <c r="I37" s="455">
        <v>1438.37216773006</v>
      </c>
      <c r="J37" s="453">
        <v>23972.8694621677</v>
      </c>
      <c r="K37" s="499" t="s">
        <v>70</v>
      </c>
      <c r="L37" s="500">
        <v>109</v>
      </c>
      <c r="M37" s="500">
        <v>6</v>
      </c>
      <c r="N37" s="458">
        <v>103</v>
      </c>
      <c r="O37" s="453">
        <v>1716.66666666667</v>
      </c>
      <c r="P37" s="501" t="s">
        <v>71</v>
      </c>
      <c r="Q37" s="493"/>
      <c r="R37" s="227"/>
    </row>
    <row r="38" ht="16" customHeight="1" spans="1:18">
      <c r="A38" s="485" t="s">
        <v>72</v>
      </c>
      <c r="B38" s="496">
        <v>21235</v>
      </c>
      <c r="C38" s="496">
        <v>22875</v>
      </c>
      <c r="D38" s="452">
        <v>-1640</v>
      </c>
      <c r="E38" s="453">
        <v>-7.16939890710383</v>
      </c>
      <c r="F38" s="499" t="s">
        <v>73</v>
      </c>
      <c r="G38" s="499"/>
      <c r="H38" s="499"/>
      <c r="I38" s="455">
        <v>0</v>
      </c>
      <c r="J38" s="479"/>
      <c r="K38" s="499" t="s">
        <v>73</v>
      </c>
      <c r="L38" s="499"/>
      <c r="M38" s="499"/>
      <c r="N38" s="458">
        <v>0</v>
      </c>
      <c r="O38" s="459"/>
      <c r="P38" s="489"/>
      <c r="Q38" s="493"/>
      <c r="R38" s="227"/>
    </row>
    <row r="39" ht="16" customHeight="1" spans="1:18">
      <c r="A39" s="485" t="s">
        <v>74</v>
      </c>
      <c r="B39" s="496">
        <v>2519</v>
      </c>
      <c r="C39" s="496">
        <v>2519</v>
      </c>
      <c r="D39" s="452">
        <v>0</v>
      </c>
      <c r="E39" s="453">
        <v>0</v>
      </c>
      <c r="F39" s="499" t="s">
        <v>75</v>
      </c>
      <c r="G39" s="499"/>
      <c r="H39" s="499"/>
      <c r="I39" s="455">
        <v>0</v>
      </c>
      <c r="J39" s="479"/>
      <c r="K39" s="499" t="s">
        <v>75</v>
      </c>
      <c r="L39" s="499"/>
      <c r="M39" s="499"/>
      <c r="N39" s="458">
        <v>0</v>
      </c>
      <c r="O39" s="459"/>
      <c r="P39" s="489"/>
      <c r="Q39" s="493"/>
      <c r="R39" s="227"/>
    </row>
    <row r="40" ht="16" customHeight="1" spans="1:18">
      <c r="A40" s="485" t="s">
        <v>76</v>
      </c>
      <c r="B40" s="496">
        <v>16115</v>
      </c>
      <c r="C40" s="496">
        <v>16115</v>
      </c>
      <c r="D40" s="452">
        <v>0</v>
      </c>
      <c r="E40" s="453">
        <v>0</v>
      </c>
      <c r="F40" s="499"/>
      <c r="G40" s="499"/>
      <c r="H40" s="499"/>
      <c r="I40" s="455">
        <v>0</v>
      </c>
      <c r="J40" s="479"/>
      <c r="K40" s="482"/>
      <c r="L40" s="482"/>
      <c r="M40" s="482"/>
      <c r="N40" s="458">
        <v>0</v>
      </c>
      <c r="O40" s="459"/>
      <c r="Q40" s="493"/>
      <c r="R40" s="227"/>
    </row>
    <row r="41" ht="16" customHeight="1" spans="1:18">
      <c r="A41" s="502" t="s">
        <v>77</v>
      </c>
      <c r="B41" s="496">
        <v>1151</v>
      </c>
      <c r="C41" s="496">
        <v>1020</v>
      </c>
      <c r="D41" s="452">
        <v>131</v>
      </c>
      <c r="E41" s="453">
        <v>12.843137254902</v>
      </c>
      <c r="F41" s="482"/>
      <c r="G41" s="482"/>
      <c r="H41" s="482"/>
      <c r="I41" s="455">
        <v>0</v>
      </c>
      <c r="J41" s="479"/>
      <c r="K41" s="456"/>
      <c r="L41" s="456"/>
      <c r="M41" s="456"/>
      <c r="N41" s="458">
        <v>0</v>
      </c>
      <c r="O41" s="459"/>
      <c r="P41" s="483"/>
      <c r="Q41" s="484"/>
      <c r="R41" s="227"/>
    </row>
    <row r="42" ht="16" customHeight="1" spans="1:18">
      <c r="A42" s="502" t="s">
        <v>78</v>
      </c>
      <c r="B42" s="496">
        <v>140</v>
      </c>
      <c r="C42" s="496">
        <v>140</v>
      </c>
      <c r="D42" s="452">
        <v>0</v>
      </c>
      <c r="E42" s="453">
        <v>0</v>
      </c>
      <c r="F42" s="482"/>
      <c r="G42" s="482"/>
      <c r="H42" s="482"/>
      <c r="I42" s="455">
        <v>0</v>
      </c>
      <c r="J42" s="479"/>
      <c r="K42" s="456"/>
      <c r="L42" s="456"/>
      <c r="M42" s="456"/>
      <c r="N42" s="458">
        <v>0</v>
      </c>
      <c r="O42" s="459"/>
      <c r="P42" s="483"/>
      <c r="Q42" s="484"/>
      <c r="R42" s="227"/>
    </row>
    <row r="43" ht="16" customHeight="1" spans="1:18">
      <c r="A43" s="502" t="s">
        <v>79</v>
      </c>
      <c r="B43" s="496">
        <v>108</v>
      </c>
      <c r="C43" s="496">
        <v>108</v>
      </c>
      <c r="D43" s="452"/>
      <c r="E43" s="453"/>
      <c r="F43" s="482"/>
      <c r="G43" s="482"/>
      <c r="H43" s="482"/>
      <c r="I43" s="455"/>
      <c r="J43" s="479"/>
      <c r="K43" s="456"/>
      <c r="L43" s="456"/>
      <c r="M43" s="456"/>
      <c r="N43" s="458"/>
      <c r="O43" s="459"/>
      <c r="P43" s="483"/>
      <c r="Q43" s="484"/>
      <c r="R43" s="227"/>
    </row>
    <row r="44" ht="16" customHeight="1" spans="1:18">
      <c r="A44" s="502" t="s">
        <v>80</v>
      </c>
      <c r="B44" s="496">
        <v>14426</v>
      </c>
      <c r="C44" s="496">
        <v>16349</v>
      </c>
      <c r="D44" s="452">
        <v>-1923</v>
      </c>
      <c r="E44" s="453">
        <v>-11.7621872897425</v>
      </c>
      <c r="F44" s="482"/>
      <c r="G44" s="482"/>
      <c r="H44" s="482"/>
      <c r="I44" s="455">
        <v>0</v>
      </c>
      <c r="J44" s="479"/>
      <c r="K44" s="456"/>
      <c r="L44" s="456"/>
      <c r="M44" s="456"/>
      <c r="N44" s="458">
        <v>0</v>
      </c>
      <c r="O44" s="459"/>
      <c r="P44" s="483"/>
      <c r="Q44" s="484"/>
      <c r="R44" s="227"/>
    </row>
    <row r="45" ht="16" customHeight="1" spans="1:18">
      <c r="A45" s="502" t="s">
        <v>81</v>
      </c>
      <c r="B45" s="496">
        <v>29091</v>
      </c>
      <c r="C45" s="496">
        <v>28484</v>
      </c>
      <c r="D45" s="452">
        <v>607</v>
      </c>
      <c r="E45" s="453">
        <v>2.13102092402752</v>
      </c>
      <c r="F45" s="482"/>
      <c r="G45" s="482"/>
      <c r="H45" s="482"/>
      <c r="I45" s="455">
        <v>0</v>
      </c>
      <c r="J45" s="479"/>
      <c r="K45" s="456"/>
      <c r="L45" s="456"/>
      <c r="M45" s="456"/>
      <c r="N45" s="458">
        <v>0</v>
      </c>
      <c r="O45" s="459"/>
      <c r="P45" s="483"/>
      <c r="Q45" s="484"/>
      <c r="R45" s="227"/>
    </row>
    <row r="46" ht="16" customHeight="1" spans="1:18">
      <c r="A46" s="502" t="s">
        <v>82</v>
      </c>
      <c r="B46" s="496">
        <v>32867</v>
      </c>
      <c r="C46" s="496">
        <v>32123</v>
      </c>
      <c r="D46" s="452">
        <v>744</v>
      </c>
      <c r="E46" s="453">
        <v>2.31609750023348</v>
      </c>
      <c r="F46" s="456"/>
      <c r="G46" s="456"/>
      <c r="H46" s="456"/>
      <c r="I46" s="455">
        <v>0</v>
      </c>
      <c r="J46" s="479"/>
      <c r="K46" s="456"/>
      <c r="L46" s="456"/>
      <c r="M46" s="456"/>
      <c r="N46" s="458">
        <v>0</v>
      </c>
      <c r="O46" s="459"/>
      <c r="P46" s="483"/>
      <c r="Q46" s="484"/>
      <c r="R46" s="227"/>
    </row>
    <row r="47" ht="16" customHeight="1" spans="1:18">
      <c r="A47" s="502" t="s">
        <v>83</v>
      </c>
      <c r="B47" s="496">
        <v>27775</v>
      </c>
      <c r="C47" s="496">
        <v>27462</v>
      </c>
      <c r="D47" s="452">
        <v>313</v>
      </c>
      <c r="E47" s="453">
        <v>1.13975675478844</v>
      </c>
      <c r="F47" s="456"/>
      <c r="G47" s="456"/>
      <c r="H47" s="456"/>
      <c r="I47" s="455">
        <v>0</v>
      </c>
      <c r="J47" s="479"/>
      <c r="K47" s="456"/>
      <c r="L47" s="456"/>
      <c r="M47" s="456"/>
      <c r="N47" s="458">
        <v>0</v>
      </c>
      <c r="O47" s="459"/>
      <c r="P47" s="503"/>
      <c r="Q47" s="484"/>
      <c r="R47" s="227"/>
    </row>
    <row r="48" ht="16" customHeight="1" spans="1:18">
      <c r="A48" s="485" t="s">
        <v>84</v>
      </c>
      <c r="B48" s="496">
        <v>3388</v>
      </c>
      <c r="C48" s="496">
        <v>4021</v>
      </c>
      <c r="D48" s="452">
        <v>-633</v>
      </c>
      <c r="E48" s="453">
        <v>-15.7423526485949</v>
      </c>
      <c r="F48" s="456"/>
      <c r="G48" s="456"/>
      <c r="H48" s="456"/>
      <c r="I48" s="455">
        <v>0</v>
      </c>
      <c r="J48" s="479"/>
      <c r="K48" s="456"/>
      <c r="L48" s="456"/>
      <c r="M48" s="456"/>
      <c r="N48" s="458">
        <v>0</v>
      </c>
      <c r="O48" s="459"/>
      <c r="P48" s="489"/>
      <c r="Q48" s="484"/>
      <c r="R48" s="227"/>
    </row>
    <row r="49" ht="16" customHeight="1" spans="1:18">
      <c r="A49" s="485" t="s">
        <v>85</v>
      </c>
      <c r="B49" s="496">
        <v>5723</v>
      </c>
      <c r="C49" s="496">
        <v>4916</v>
      </c>
      <c r="D49" s="452">
        <v>807</v>
      </c>
      <c r="E49" s="453">
        <v>16.4157851912124</v>
      </c>
      <c r="F49" s="456"/>
      <c r="G49" s="456"/>
      <c r="H49" s="456"/>
      <c r="I49" s="455">
        <v>0</v>
      </c>
      <c r="J49" s="479"/>
      <c r="K49" s="456"/>
      <c r="L49" s="456"/>
      <c r="M49" s="456"/>
      <c r="N49" s="458">
        <v>0</v>
      </c>
      <c r="O49" s="459"/>
      <c r="P49" s="489"/>
      <c r="Q49" s="504"/>
      <c r="R49" s="227"/>
    </row>
    <row r="50" ht="16" customHeight="1" spans="1:18">
      <c r="A50" s="505" t="s">
        <v>86</v>
      </c>
      <c r="B50" s="496">
        <v>7383</v>
      </c>
      <c r="C50" s="496">
        <v>2440</v>
      </c>
      <c r="D50" s="452">
        <v>4943</v>
      </c>
      <c r="E50" s="453">
        <v>202.581967213115</v>
      </c>
      <c r="F50" s="456"/>
      <c r="G50" s="456"/>
      <c r="H50" s="456"/>
      <c r="I50" s="455">
        <v>0</v>
      </c>
      <c r="J50" s="479"/>
      <c r="K50" s="456"/>
      <c r="L50" s="456"/>
      <c r="M50" s="456"/>
      <c r="N50" s="458">
        <v>0</v>
      </c>
      <c r="O50" s="459"/>
      <c r="P50" s="506"/>
      <c r="Q50" s="507"/>
    </row>
    <row r="51" ht="16" customHeight="1" spans="1:18">
      <c r="A51" s="505" t="s">
        <v>87</v>
      </c>
      <c r="B51" s="496">
        <v>5211</v>
      </c>
      <c r="C51" s="496">
        <v>4197</v>
      </c>
      <c r="D51" s="452">
        <v>1014</v>
      </c>
      <c r="E51" s="453">
        <v>24.1601143674053</v>
      </c>
      <c r="F51" s="456"/>
      <c r="G51" s="456"/>
      <c r="H51" s="456"/>
      <c r="I51" s="455"/>
      <c r="J51" s="479"/>
      <c r="K51" s="456"/>
      <c r="L51" s="456"/>
      <c r="M51" s="456"/>
      <c r="N51" s="458"/>
      <c r="O51" s="459"/>
      <c r="P51" s="506"/>
      <c r="Q51" s="507"/>
    </row>
    <row r="52" ht="16" customHeight="1" spans="1:18">
      <c r="A52" s="505" t="s">
        <v>88</v>
      </c>
      <c r="B52" s="496">
        <v>3886</v>
      </c>
      <c r="C52" s="496">
        <v>0</v>
      </c>
      <c r="D52" s="452">
        <v>3886</v>
      </c>
      <c r="E52" s="453">
        <v>100</v>
      </c>
      <c r="F52" s="456"/>
      <c r="G52" s="456"/>
      <c r="H52" s="456"/>
      <c r="I52" s="455"/>
      <c r="J52" s="479"/>
      <c r="K52" s="456"/>
      <c r="L52" s="456"/>
      <c r="M52" s="456"/>
      <c r="N52" s="458"/>
      <c r="O52" s="459"/>
      <c r="P52" s="506"/>
      <c r="Q52" s="507"/>
    </row>
    <row r="53" ht="16" customHeight="1" spans="1:18">
      <c r="A53" s="505" t="s">
        <v>89</v>
      </c>
      <c r="B53" s="496">
        <v>390</v>
      </c>
      <c r="C53" s="496">
        <v>855</v>
      </c>
      <c r="D53" s="452">
        <v>-465</v>
      </c>
      <c r="E53" s="453">
        <v>-54.3859649122807</v>
      </c>
      <c r="F53" s="456" t="s">
        <v>23</v>
      </c>
      <c r="G53" s="456"/>
      <c r="H53" s="456"/>
      <c r="I53" s="455">
        <v>0</v>
      </c>
      <c r="J53" s="479"/>
      <c r="K53" s="456"/>
      <c r="L53" s="456"/>
      <c r="M53" s="456"/>
      <c r="N53" s="458">
        <v>0</v>
      </c>
      <c r="O53" s="459"/>
      <c r="P53" s="506"/>
      <c r="Q53" s="507"/>
    </row>
    <row r="54" ht="16" customHeight="1" spans="1:18">
      <c r="A54" s="505" t="s">
        <v>90</v>
      </c>
      <c r="B54" s="496">
        <v>678</v>
      </c>
      <c r="C54" s="496">
        <v>573</v>
      </c>
      <c r="D54" s="452">
        <v>105</v>
      </c>
      <c r="E54" s="453">
        <v>18.3246073298429</v>
      </c>
      <c r="F54" s="456"/>
      <c r="G54" s="456"/>
      <c r="H54" s="456"/>
      <c r="I54" s="455">
        <v>0</v>
      </c>
      <c r="J54" s="479"/>
      <c r="K54" s="456"/>
      <c r="L54" s="456"/>
      <c r="M54" s="456"/>
      <c r="N54" s="458">
        <v>0</v>
      </c>
      <c r="O54" s="459"/>
      <c r="P54" s="506"/>
      <c r="Q54" s="507"/>
    </row>
    <row r="55" ht="16" customHeight="1" spans="1:18">
      <c r="A55" s="505" t="s">
        <v>91</v>
      </c>
      <c r="B55" s="496">
        <v>190</v>
      </c>
      <c r="C55" s="496">
        <v>209</v>
      </c>
      <c r="D55" s="452">
        <v>-19</v>
      </c>
      <c r="E55" s="453">
        <v>-9.09090909090909</v>
      </c>
      <c r="F55" s="456"/>
      <c r="G55" s="456"/>
      <c r="H55" s="456"/>
      <c r="I55" s="455"/>
      <c r="J55" s="479"/>
      <c r="K55" s="456"/>
      <c r="L55" s="456"/>
      <c r="M55" s="456"/>
      <c r="N55" s="458"/>
      <c r="O55" s="459"/>
      <c r="P55" s="506"/>
      <c r="Q55" s="507"/>
    </row>
    <row r="56" ht="16" customHeight="1" spans="1:18">
      <c r="A56" s="505" t="s">
        <v>92</v>
      </c>
      <c r="B56" s="496">
        <v>3209</v>
      </c>
      <c r="C56" s="496">
        <v>2413</v>
      </c>
      <c r="D56" s="452">
        <v>796</v>
      </c>
      <c r="E56" s="453">
        <v>32.9879817654372</v>
      </c>
      <c r="F56" s="456"/>
      <c r="G56" s="456"/>
      <c r="H56" s="456"/>
      <c r="I56" s="455"/>
      <c r="J56" s="479"/>
      <c r="K56" s="456"/>
      <c r="L56" s="456"/>
      <c r="M56" s="456"/>
      <c r="N56" s="458"/>
      <c r="O56" s="459"/>
      <c r="P56" s="489"/>
      <c r="Q56" s="507"/>
    </row>
    <row r="57" ht="16" customHeight="1" spans="1:18">
      <c r="A57" s="508" t="s">
        <v>93</v>
      </c>
      <c r="B57" s="496">
        <v>327</v>
      </c>
      <c r="C57" s="496"/>
      <c r="D57" s="452">
        <v>327</v>
      </c>
      <c r="E57" s="453">
        <v>100</v>
      </c>
      <c r="F57" s="456"/>
      <c r="G57" s="456"/>
      <c r="H57" s="456"/>
      <c r="I57" s="455"/>
      <c r="J57" s="479"/>
      <c r="K57" s="456"/>
      <c r="L57" s="456"/>
      <c r="M57" s="456"/>
      <c r="N57" s="458"/>
      <c r="O57" s="459"/>
      <c r="P57" s="509"/>
      <c r="Q57" s="507"/>
    </row>
    <row r="58" ht="16" customHeight="1" spans="1:18">
      <c r="A58" s="485" t="s">
        <v>94</v>
      </c>
      <c r="B58" s="496">
        <v>1423</v>
      </c>
      <c r="C58" s="496">
        <v>3228</v>
      </c>
      <c r="D58" s="452">
        <v>-1805</v>
      </c>
      <c r="E58" s="453">
        <v>-55.9169764560099</v>
      </c>
      <c r="F58" s="456"/>
      <c r="G58" s="456"/>
      <c r="H58" s="456"/>
      <c r="I58" s="455"/>
      <c r="J58" s="479"/>
      <c r="K58" s="456"/>
      <c r="L58" s="456"/>
      <c r="M58" s="456"/>
      <c r="N58" s="458"/>
      <c r="O58" s="459"/>
      <c r="P58" s="506"/>
      <c r="Q58" s="507"/>
    </row>
    <row r="59" ht="16" customHeight="1" spans="1:18">
      <c r="A59" s="472" t="s">
        <v>95</v>
      </c>
      <c r="B59" s="510">
        <v>24706</v>
      </c>
      <c r="C59" s="510">
        <v>23264</v>
      </c>
      <c r="D59" s="452">
        <v>1442</v>
      </c>
      <c r="E59" s="453">
        <v>6.1984181568088</v>
      </c>
      <c r="F59" s="456"/>
      <c r="G59" s="456"/>
      <c r="H59" s="456"/>
      <c r="I59" s="455">
        <v>0</v>
      </c>
      <c r="J59" s="479"/>
      <c r="K59" s="456"/>
      <c r="L59" s="456"/>
      <c r="M59" s="456"/>
      <c r="N59" s="458">
        <v>0</v>
      </c>
      <c r="O59" s="459"/>
    </row>
    <row r="60" ht="16" customHeight="1" spans="1:18">
      <c r="A60" s="511" t="s">
        <v>96</v>
      </c>
      <c r="B60" s="510">
        <v>17695</v>
      </c>
      <c r="C60" s="510">
        <v>32012</v>
      </c>
      <c r="D60" s="452">
        <v>-14317</v>
      </c>
      <c r="E60" s="453">
        <v>-44.7238535549169</v>
      </c>
      <c r="F60" s="456"/>
      <c r="G60" s="456"/>
      <c r="H60" s="456"/>
      <c r="I60" s="455">
        <v>0</v>
      </c>
      <c r="J60" s="479"/>
      <c r="K60" s="456"/>
      <c r="L60" s="456"/>
      <c r="M60" s="456"/>
      <c r="N60" s="458">
        <v>0</v>
      </c>
      <c r="O60" s="459"/>
    </row>
    <row r="61" ht="16" customHeight="1" spans="1:18">
      <c r="A61" s="511" t="s">
        <v>97</v>
      </c>
      <c r="B61" s="510">
        <v>10000</v>
      </c>
      <c r="C61" s="510">
        <v>27000</v>
      </c>
      <c r="D61" s="452">
        <v>-17000</v>
      </c>
      <c r="E61" s="453">
        <v>-62.962962962963</v>
      </c>
      <c r="F61" s="456"/>
      <c r="G61" s="456"/>
      <c r="H61" s="456"/>
      <c r="I61" s="455">
        <v>0</v>
      </c>
      <c r="J61" s="479"/>
      <c r="K61" s="456"/>
      <c r="L61" s="456"/>
      <c r="M61" s="456"/>
      <c r="N61" s="458">
        <v>0</v>
      </c>
      <c r="O61" s="459"/>
    </row>
    <row r="62" ht="16" customHeight="1" spans="1:18">
      <c r="A62" s="511" t="s">
        <v>98</v>
      </c>
      <c r="B62" s="510">
        <v>6695</v>
      </c>
      <c r="C62" s="510">
        <v>4712</v>
      </c>
      <c r="D62" s="452">
        <v>1983</v>
      </c>
      <c r="E62" s="453">
        <v>42.0840407470289</v>
      </c>
      <c r="F62" s="456"/>
      <c r="G62" s="456"/>
      <c r="H62" s="456"/>
      <c r="I62" s="455">
        <v>0</v>
      </c>
      <c r="J62" s="479"/>
      <c r="K62" s="456"/>
      <c r="L62" s="456"/>
      <c r="M62" s="456"/>
      <c r="N62" s="458">
        <v>0</v>
      </c>
      <c r="O62" s="459"/>
    </row>
    <row r="63" ht="16" customHeight="1" spans="1:18">
      <c r="A63" s="512" t="s">
        <v>99</v>
      </c>
      <c r="B63" s="510">
        <v>1000</v>
      </c>
      <c r="C63" s="510">
        <v>300</v>
      </c>
      <c r="D63" s="452">
        <v>700</v>
      </c>
      <c r="E63" s="453">
        <v>233.333333333333</v>
      </c>
      <c r="F63" s="456"/>
      <c r="G63" s="456"/>
      <c r="H63" s="456"/>
      <c r="I63" s="455">
        <v>0</v>
      </c>
      <c r="J63" s="479"/>
      <c r="K63" s="456"/>
      <c r="L63" s="456"/>
      <c r="M63" s="456"/>
      <c r="N63" s="458">
        <v>0</v>
      </c>
      <c r="O63" s="459"/>
    </row>
    <row r="64" ht="16" customHeight="1" spans="1:18">
      <c r="A64" s="513" t="s">
        <v>100</v>
      </c>
      <c r="B64" s="510"/>
      <c r="C64" s="510"/>
      <c r="D64" s="452">
        <v>0</v>
      </c>
      <c r="E64" s="453"/>
      <c r="F64" s="456"/>
      <c r="G64" s="456"/>
      <c r="H64" s="456"/>
      <c r="I64" s="455">
        <v>0</v>
      </c>
      <c r="J64" s="479"/>
      <c r="K64" s="456"/>
      <c r="L64" s="456"/>
      <c r="M64" s="456"/>
      <c r="N64" s="458">
        <v>0</v>
      </c>
      <c r="O64" s="459"/>
    </row>
    <row r="65" ht="16" customHeight="1" spans="1:15">
      <c r="A65" s="127" t="s">
        <v>101</v>
      </c>
      <c r="B65" s="510">
        <v>3015</v>
      </c>
      <c r="C65" s="510">
        <v>300</v>
      </c>
      <c r="D65" s="452">
        <v>2715</v>
      </c>
      <c r="E65" s="453">
        <v>905</v>
      </c>
      <c r="F65" s="456"/>
      <c r="G65" s="456"/>
      <c r="H65" s="456"/>
      <c r="I65" s="455">
        <v>0</v>
      </c>
      <c r="J65" s="479"/>
      <c r="K65" s="456" t="s">
        <v>23</v>
      </c>
      <c r="L65" s="456"/>
      <c r="M65" s="456"/>
      <c r="N65" s="458">
        <v>0</v>
      </c>
      <c r="O65" s="459"/>
    </row>
    <row r="66" ht="16" customHeight="1" spans="1:15">
      <c r="A66" s="514" t="s">
        <v>102</v>
      </c>
      <c r="B66" s="515">
        <v>421326</v>
      </c>
      <c r="C66" s="515">
        <v>403394</v>
      </c>
      <c r="D66" s="452">
        <v>17932</v>
      </c>
      <c r="E66" s="453">
        <v>4.44528178406223</v>
      </c>
      <c r="F66" s="516" t="s">
        <v>103</v>
      </c>
      <c r="G66" s="515">
        <v>421326</v>
      </c>
      <c r="H66" s="515">
        <v>403393.562468</v>
      </c>
      <c r="I66" s="455">
        <v>17932.437532</v>
      </c>
      <c r="J66" s="453">
        <v>4.44539506835153</v>
      </c>
      <c r="K66" s="516" t="s">
        <v>103</v>
      </c>
      <c r="L66" s="458">
        <v>421326</v>
      </c>
      <c r="M66" s="458">
        <v>403394</v>
      </c>
      <c r="N66" s="458">
        <v>17932</v>
      </c>
      <c r="O66" s="459">
        <v>4.44528178406223</v>
      </c>
    </row>
    <row r="67" ht="18" customHeight="1"/>
  </sheetData>
  <mergeCells count="17">
    <mergeCell ref="A1:O1"/>
    <mergeCell ref="F2:H2"/>
    <mergeCell ref="M2:O2"/>
    <mergeCell ref="A3:E3"/>
    <mergeCell ref="F3:O3"/>
    <mergeCell ref="D4:E4"/>
    <mergeCell ref="I4:J4"/>
    <mergeCell ref="N4:O4"/>
    <mergeCell ref="A4:A5"/>
    <mergeCell ref="B4:B5"/>
    <mergeCell ref="C4:C5"/>
    <mergeCell ref="F4:F5"/>
    <mergeCell ref="G4:G5"/>
    <mergeCell ref="H4:H5"/>
    <mergeCell ref="K4:K5"/>
    <mergeCell ref="L4:L5"/>
    <mergeCell ref="M4:M5"/>
  </mergeCells>
  <conditionalFormatting sqref="A59">
    <cfRule type="cellIs" dxfId="0" priority="4" stopIfTrue="1" operator="equal">
      <formula>0</formula>
    </cfRule>
  </conditionalFormatting>
  <conditionalFormatting sqref="A29:A35">
    <cfRule type="cellIs" dxfId="0" priority="5" stopIfTrue="1" operator="equal">
      <formula>0</formula>
    </cfRule>
  </conditionalFormatting>
  <conditionalFormatting sqref="C39:C47">
    <cfRule type="cellIs" dxfId="0" priority="2" stopIfTrue="1" operator="equal">
      <formula>0</formula>
    </cfRule>
  </conditionalFormatting>
  <conditionalFormatting sqref="C50:C58">
    <cfRule type="cellIs" dxfId="0" priority="1" stopIfTrue="1" operator="equal">
      <formula>0</formula>
    </cfRule>
  </conditionalFormatting>
  <conditionalFormatting sqref="A37:B42 B43:B49 C37:C38 C48:C49 A50:B58 A43:A45 A48:A49">
    <cfRule type="cellIs" dxfId="0" priority="3" stopIfTrue="1" operator="equal">
      <formula>0</formula>
    </cfRule>
  </conditionalFormatting>
  <printOptions horizontalCentered="1" verticalCentered="1"/>
  <pageMargins left="0.196527777777778" right="0.0777777777777778" top="0.590277777777778" bottom="0.668055555555556" header="0.196527777777778" footer="0.0777777777777778"/>
  <pageSetup paperSize="9" scale="80" orientation="landscape"/>
  <headerFooter alignWithMargins="0">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showGridLines="0" showZeros="0" workbookViewId="0">
      <pane topLeftCell="A1" activePane="bottomRight" state="frozen"/>
      <selection activeCell="I5" sqref="I5"/>
    </sheetView>
  </sheetViews>
  <sheetFormatPr defaultColWidth="9" defaultRowHeight="14.25" outlineLevelCol="3"/>
  <cols>
    <col min="1" max="1" width="47.25" style="1" customWidth="1"/>
    <col min="2" max="2" width="22.25" style="1" customWidth="1"/>
    <col min="3" max="3" width="25.5" style="1" customWidth="1"/>
    <col min="4" max="4" width="25.375" style="1" customWidth="1"/>
    <col min="5" max="16379" width="8" style="2"/>
  </cols>
  <sheetData>
    <row r="1" ht="36" customHeight="1" spans="1:4">
      <c r="A1" s="3" t="s">
        <v>1399</v>
      </c>
      <c r="B1" s="3"/>
      <c r="C1" s="3"/>
      <c r="D1" s="3"/>
    </row>
    <row r="2" ht="17.1" customHeight="1" spans="1:4">
      <c r="A2" s="70"/>
      <c r="B2" s="70"/>
      <c r="C2" s="71"/>
      <c r="D2" s="72" t="s">
        <v>1</v>
      </c>
    </row>
    <row r="3" ht="33.95" customHeight="1" spans="1:4">
      <c r="A3" s="73" t="s">
        <v>1400</v>
      </c>
      <c r="B3" s="74" t="s">
        <v>1401</v>
      </c>
      <c r="C3" s="75" t="s">
        <v>1402</v>
      </c>
      <c r="D3" s="76" t="s">
        <v>1403</v>
      </c>
    </row>
    <row r="4" ht="24" customHeight="1" spans="1:4">
      <c r="A4" s="77" t="s">
        <v>1404</v>
      </c>
      <c r="B4" s="58">
        <f>C4+D4</f>
        <v>63215.37</v>
      </c>
      <c r="C4" s="78">
        <v>23606.42</v>
      </c>
      <c r="D4" s="58">
        <v>39608.95</v>
      </c>
    </row>
    <row r="5" ht="24" customHeight="1" spans="1:4">
      <c r="A5" s="79" t="s">
        <v>1405</v>
      </c>
      <c r="B5" s="58">
        <f t="shared" ref="B5:B21" si="0">C5+D5</f>
        <v>23240.46</v>
      </c>
      <c r="C5" s="58">
        <v>6835.11</v>
      </c>
      <c r="D5" s="58">
        <v>16405.35</v>
      </c>
    </row>
    <row r="6" ht="24" customHeight="1" spans="1:4">
      <c r="A6" s="79" t="s">
        <v>1406</v>
      </c>
      <c r="B6" s="58">
        <f t="shared" si="0"/>
        <v>39492.6</v>
      </c>
      <c r="C6" s="58">
        <v>16705.6</v>
      </c>
      <c r="D6" s="58">
        <v>22787</v>
      </c>
    </row>
    <row r="7" ht="24" customHeight="1" spans="1:4">
      <c r="A7" s="26" t="s">
        <v>1407</v>
      </c>
      <c r="B7" s="58">
        <f t="shared" si="0"/>
        <v>85.2</v>
      </c>
      <c r="C7" s="58">
        <v>64.2</v>
      </c>
      <c r="D7" s="58">
        <v>21</v>
      </c>
    </row>
    <row r="8" ht="24" customHeight="1" spans="1:4">
      <c r="A8" s="26" t="s">
        <v>1408</v>
      </c>
      <c r="B8" s="58">
        <f t="shared" si="0"/>
        <v>0</v>
      </c>
      <c r="C8" s="58">
        <v>0</v>
      </c>
      <c r="D8" s="80"/>
    </row>
    <row r="9" ht="24" customHeight="1" spans="1:4">
      <c r="A9" s="26" t="s">
        <v>1409</v>
      </c>
      <c r="B9" s="58">
        <f t="shared" si="0"/>
        <v>397.11</v>
      </c>
      <c r="C9" s="58">
        <v>1.51</v>
      </c>
      <c r="D9" s="58">
        <v>395.6</v>
      </c>
    </row>
    <row r="10" ht="24" customHeight="1" spans="1:4">
      <c r="A10" s="26" t="s">
        <v>1410</v>
      </c>
      <c r="B10" s="58">
        <f t="shared" si="0"/>
        <v>0</v>
      </c>
      <c r="C10" s="58"/>
      <c r="D10" s="58"/>
    </row>
    <row r="11" ht="24" customHeight="1" spans="1:4">
      <c r="A11" s="26" t="s">
        <v>1411</v>
      </c>
      <c r="B11" s="58">
        <f t="shared" si="0"/>
        <v>0</v>
      </c>
      <c r="C11" s="58"/>
      <c r="D11" s="58"/>
    </row>
    <row r="12" ht="24" customHeight="1" spans="1:4">
      <c r="A12" s="26" t="s">
        <v>1412</v>
      </c>
      <c r="B12" s="58">
        <f t="shared" si="0"/>
        <v>0</v>
      </c>
      <c r="C12" s="58"/>
      <c r="D12" s="58"/>
    </row>
    <row r="13" ht="24" customHeight="1" spans="1:4">
      <c r="A13" s="79" t="s">
        <v>1413</v>
      </c>
      <c r="B13" s="58">
        <f t="shared" si="0"/>
        <v>57687.46</v>
      </c>
      <c r="C13" s="58">
        <v>18078.76</v>
      </c>
      <c r="D13" s="58">
        <v>39608.7</v>
      </c>
    </row>
    <row r="14" ht="24" customHeight="1" spans="1:4">
      <c r="A14" s="79" t="s">
        <v>1414</v>
      </c>
      <c r="B14" s="58">
        <f t="shared" si="0"/>
        <v>57408.26</v>
      </c>
      <c r="C14" s="58">
        <v>18078.76</v>
      </c>
      <c r="D14" s="58">
        <v>39329.5</v>
      </c>
    </row>
    <row r="15" ht="24" customHeight="1" spans="1:4">
      <c r="A15" s="79" t="s">
        <v>1415</v>
      </c>
      <c r="B15" s="58">
        <f t="shared" si="0"/>
        <v>279.2</v>
      </c>
      <c r="C15" s="58">
        <v>0</v>
      </c>
      <c r="D15" s="58">
        <v>279.2</v>
      </c>
    </row>
    <row r="16" ht="24" customHeight="1" spans="1:4">
      <c r="A16" s="26" t="s">
        <v>1416</v>
      </c>
      <c r="B16" s="58">
        <f t="shared" si="0"/>
        <v>0</v>
      </c>
      <c r="C16" s="58"/>
      <c r="D16" s="58"/>
    </row>
    <row r="17" ht="24" customHeight="1" spans="1:4">
      <c r="A17" s="26" t="s">
        <v>1417</v>
      </c>
      <c r="B17" s="58">
        <f t="shared" si="0"/>
        <v>0</v>
      </c>
      <c r="C17" s="58"/>
      <c r="D17" s="58"/>
    </row>
    <row r="18" ht="24" customHeight="1" spans="1:4">
      <c r="A18" s="26" t="s">
        <v>1418</v>
      </c>
      <c r="B18" s="58">
        <f t="shared" si="0"/>
        <v>0</v>
      </c>
      <c r="C18" s="58"/>
      <c r="D18" s="58"/>
    </row>
    <row r="19" ht="24" customHeight="1" spans="1:4">
      <c r="A19" s="77" t="s">
        <v>1419</v>
      </c>
      <c r="B19" s="58">
        <v>44688.71</v>
      </c>
      <c r="C19" s="66">
        <v>41537.79</v>
      </c>
      <c r="D19" s="58">
        <v>3150.92</v>
      </c>
    </row>
    <row r="20" ht="24" customHeight="1" spans="1:4">
      <c r="A20" s="77" t="s">
        <v>1420</v>
      </c>
      <c r="B20" s="58">
        <f t="shared" si="0"/>
        <v>5527.91</v>
      </c>
      <c r="C20" s="58">
        <v>5527.66</v>
      </c>
      <c r="D20" s="58">
        <v>0.25</v>
      </c>
    </row>
    <row r="21" ht="24" customHeight="1" spans="1:4">
      <c r="A21" s="79" t="s">
        <v>1421</v>
      </c>
      <c r="B21" s="58">
        <f t="shared" si="0"/>
        <v>50216.62</v>
      </c>
      <c r="C21" s="58">
        <v>47065.45</v>
      </c>
      <c r="D21" s="58">
        <v>3151.17</v>
      </c>
    </row>
    <row r="22" ht="27" customHeight="1" spans="1:4">
      <c r="A22" s="81"/>
      <c r="B22" s="44"/>
      <c r="C22" s="82"/>
      <c r="D22" s="44"/>
    </row>
  </sheetData>
  <mergeCells count="1">
    <mergeCell ref="A1:D1"/>
  </mergeCells>
  <printOptions horizontalCentered="1"/>
  <pageMargins left="0.393055555555556" right="0.393055555555556" top="0.707638888888889" bottom="0.471527777777778" header="0.511805555555556" footer="0.313888888888889"/>
  <pageSetup paperSize="9" scale="90" orientation="landscape" errors="blank"/>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showGridLines="0" workbookViewId="0">
      <pane topLeftCell="A1" activePane="bottomRight" state="frozen"/>
      <selection activeCell="B23" sqref="B23"/>
    </sheetView>
  </sheetViews>
  <sheetFormatPr defaultColWidth="8" defaultRowHeight="14.25" outlineLevelCol="5"/>
  <cols>
    <col min="1" max="1" width="35.5" style="1" customWidth="1"/>
    <col min="2" max="2" width="19.125" style="1" customWidth="1"/>
    <col min="3" max="3" width="19.25" style="1" customWidth="1"/>
    <col min="4" max="4" width="27.125" style="1" customWidth="1"/>
    <col min="5" max="5" width="18.875" style="1" customWidth="1"/>
    <col min="6" max="6" width="18.625" style="1" customWidth="1"/>
    <col min="7" max="16384" width="8" style="2"/>
  </cols>
  <sheetData>
    <row r="1" ht="38.1" customHeight="1" spans="1:6">
      <c r="A1" s="3" t="s">
        <v>1422</v>
      </c>
      <c r="B1" s="4"/>
      <c r="C1" s="4"/>
      <c r="D1" s="4"/>
      <c r="E1" s="4"/>
      <c r="F1" s="4"/>
    </row>
    <row r="2" ht="17.1" customHeight="1" spans="1:6">
      <c r="A2" s="5"/>
      <c r="B2" s="5"/>
      <c r="C2" s="5"/>
      <c r="D2" s="5"/>
      <c r="E2" s="6"/>
      <c r="F2" s="7" t="s">
        <v>1423</v>
      </c>
    </row>
    <row r="3" ht="28.5" customHeight="1" spans="1:6">
      <c r="A3" s="8" t="s">
        <v>1400</v>
      </c>
      <c r="B3" s="8" t="s">
        <v>1424</v>
      </c>
      <c r="C3" s="8" t="s">
        <v>5</v>
      </c>
      <c r="D3" s="8" t="s">
        <v>1400</v>
      </c>
      <c r="E3" s="8" t="s">
        <v>1424</v>
      </c>
      <c r="F3" s="8" t="s">
        <v>5</v>
      </c>
    </row>
    <row r="4" ht="24" customHeight="1" spans="1:6">
      <c r="A4" s="46" t="s">
        <v>1425</v>
      </c>
      <c r="B4" s="47">
        <v>7439.39</v>
      </c>
      <c r="C4" s="47">
        <v>6835.11</v>
      </c>
      <c r="D4" s="48" t="s">
        <v>1426</v>
      </c>
      <c r="E4" s="47">
        <v>15604.53</v>
      </c>
      <c r="F4" s="47">
        <v>15979.62</v>
      </c>
    </row>
    <row r="5" ht="24" customHeight="1" spans="1:6">
      <c r="A5" s="49" t="s">
        <v>1427</v>
      </c>
      <c r="B5" s="50">
        <v>113.47</v>
      </c>
      <c r="C5" s="50">
        <v>115.67</v>
      </c>
      <c r="D5" s="48" t="s">
        <v>1428</v>
      </c>
      <c r="E5" s="50">
        <v>1759.75</v>
      </c>
      <c r="F5" s="50">
        <v>2099.14</v>
      </c>
    </row>
    <row r="6" ht="24" customHeight="1" spans="1:6">
      <c r="A6" s="51" t="s">
        <v>1429</v>
      </c>
      <c r="B6" s="52">
        <v>16733.19</v>
      </c>
      <c r="C6" s="52">
        <v>16705.6</v>
      </c>
      <c r="D6" s="48" t="s">
        <v>1430</v>
      </c>
      <c r="E6" s="53"/>
      <c r="F6" s="53"/>
    </row>
    <row r="7" ht="24" customHeight="1" spans="1:6">
      <c r="A7" s="26" t="s">
        <v>1431</v>
      </c>
      <c r="B7" s="53">
        <v>15792.22</v>
      </c>
      <c r="C7" s="53">
        <v>16157.9</v>
      </c>
      <c r="D7" s="48" t="s">
        <v>1432</v>
      </c>
      <c r="E7" s="53"/>
      <c r="F7" s="53"/>
    </row>
    <row r="8" ht="24" customHeight="1" spans="1:6">
      <c r="A8" s="54" t="s">
        <v>1433</v>
      </c>
      <c r="B8" s="53">
        <v>940.97</v>
      </c>
      <c r="C8" s="53">
        <v>547.7</v>
      </c>
      <c r="D8" s="48" t="s">
        <v>1434</v>
      </c>
      <c r="E8" s="55">
        <v>0</v>
      </c>
      <c r="F8" s="55">
        <v>0</v>
      </c>
    </row>
    <row r="9" ht="24" customHeight="1" spans="1:6">
      <c r="A9" s="49" t="s">
        <v>1435</v>
      </c>
      <c r="B9" s="53">
        <v>0</v>
      </c>
      <c r="C9" s="19">
        <v>0</v>
      </c>
      <c r="D9" s="56" t="s">
        <v>1436</v>
      </c>
      <c r="E9" s="56" t="s">
        <v>1436</v>
      </c>
      <c r="F9" s="56" t="s">
        <v>1436</v>
      </c>
    </row>
    <row r="10" ht="24" customHeight="1" spans="1:6">
      <c r="A10" s="26" t="s">
        <v>1437</v>
      </c>
      <c r="B10" s="53">
        <v>65.68</v>
      </c>
      <c r="C10" s="19">
        <v>64.2</v>
      </c>
      <c r="D10" s="56" t="s">
        <v>1436</v>
      </c>
      <c r="E10" s="56" t="s">
        <v>1436</v>
      </c>
      <c r="F10" s="56" t="s">
        <v>1436</v>
      </c>
    </row>
    <row r="11" ht="24" customHeight="1" spans="1:6">
      <c r="A11" s="26" t="s">
        <v>1438</v>
      </c>
      <c r="B11" s="53">
        <v>0</v>
      </c>
      <c r="C11" s="19">
        <v>0</v>
      </c>
      <c r="D11" s="56" t="s">
        <v>1436</v>
      </c>
      <c r="E11" s="56" t="s">
        <v>1436</v>
      </c>
      <c r="F11" s="56" t="s">
        <v>1436</v>
      </c>
    </row>
    <row r="12" ht="24" customHeight="1" spans="1:6">
      <c r="A12" s="26" t="s">
        <v>1439</v>
      </c>
      <c r="B12" s="53">
        <v>1.51</v>
      </c>
      <c r="C12" s="19">
        <v>1.51</v>
      </c>
      <c r="D12" s="56" t="s">
        <v>1436</v>
      </c>
      <c r="E12" s="56" t="s">
        <v>1436</v>
      </c>
      <c r="F12" s="56" t="s">
        <v>1436</v>
      </c>
    </row>
    <row r="13" ht="24" customHeight="1" spans="1:6">
      <c r="A13" s="26" t="s">
        <v>1440</v>
      </c>
      <c r="B13" s="53"/>
      <c r="C13" s="19"/>
      <c r="D13" s="56" t="s">
        <v>1436</v>
      </c>
      <c r="E13" s="57" t="s">
        <v>1436</v>
      </c>
      <c r="F13" s="57" t="s">
        <v>1436</v>
      </c>
    </row>
    <row r="14" ht="24" customHeight="1" spans="1:6">
      <c r="A14" s="26" t="s">
        <v>1441</v>
      </c>
      <c r="B14" s="58">
        <f>B4+B6+B9+B10+B11+B12+B13</f>
        <v>24239.77</v>
      </c>
      <c r="C14" s="58">
        <f>C4+C6+C9+C10+C11+C12+C13</f>
        <v>23606.42</v>
      </c>
      <c r="D14" s="59" t="s">
        <v>1442</v>
      </c>
      <c r="E14" s="58">
        <f>E4+E5+E6+E7+E8</f>
        <v>17364.28</v>
      </c>
      <c r="F14" s="58">
        <f>F4+F5+F6+F7+F8</f>
        <v>18078.76</v>
      </c>
    </row>
    <row r="15" ht="24" customHeight="1" spans="1:6">
      <c r="A15" s="26" t="s">
        <v>1443</v>
      </c>
      <c r="B15" s="58"/>
      <c r="C15" s="58">
        <v>0</v>
      </c>
      <c r="D15" s="60" t="s">
        <v>1444</v>
      </c>
      <c r="E15" s="58">
        <v>0</v>
      </c>
      <c r="F15" s="58">
        <v>0</v>
      </c>
    </row>
    <row r="16" ht="24" customHeight="1" spans="1:6">
      <c r="A16" s="26" t="s">
        <v>1445</v>
      </c>
      <c r="B16" s="58">
        <v>0</v>
      </c>
      <c r="C16" s="58">
        <v>0</v>
      </c>
      <c r="D16" s="59" t="s">
        <v>1446</v>
      </c>
      <c r="E16" s="58">
        <v>0</v>
      </c>
      <c r="F16" s="58">
        <v>0</v>
      </c>
    </row>
    <row r="17" ht="24" customHeight="1" spans="1:6">
      <c r="A17" s="54" t="s">
        <v>1447</v>
      </c>
      <c r="B17" s="61">
        <f t="shared" ref="B17:F17" si="0">B14+B15+B16</f>
        <v>24239.77</v>
      </c>
      <c r="C17" s="61">
        <f t="shared" si="0"/>
        <v>23606.42</v>
      </c>
      <c r="D17" s="62" t="s">
        <v>1448</v>
      </c>
      <c r="E17" s="58">
        <f t="shared" si="0"/>
        <v>17364.28</v>
      </c>
      <c r="F17" s="58">
        <f t="shared" si="0"/>
        <v>18078.76</v>
      </c>
    </row>
    <row r="18" ht="24" customHeight="1" spans="1:6">
      <c r="A18" s="63" t="s">
        <v>1436</v>
      </c>
      <c r="B18" s="64" t="s">
        <v>1436</v>
      </c>
      <c r="C18" s="65" t="s">
        <v>1436</v>
      </c>
      <c r="D18" s="60" t="s">
        <v>1449</v>
      </c>
      <c r="E18" s="58">
        <f>B17-E17</f>
        <v>6875.49</v>
      </c>
      <c r="F18" s="58">
        <f>C17-F17</f>
        <v>5527.66</v>
      </c>
    </row>
    <row r="19" ht="24" customHeight="1" spans="1:6">
      <c r="A19" s="46" t="s">
        <v>1450</v>
      </c>
      <c r="B19" s="66">
        <v>34662.3</v>
      </c>
      <c r="C19" s="66">
        <f>E19</f>
        <v>41537.79</v>
      </c>
      <c r="D19" s="59" t="s">
        <v>1451</v>
      </c>
      <c r="E19" s="58">
        <f>B19+E18</f>
        <v>41537.79</v>
      </c>
      <c r="F19" s="58">
        <f>C19+F18</f>
        <v>47065.45</v>
      </c>
    </row>
    <row r="20" ht="15.75" customHeight="1" spans="1:6">
      <c r="A20" s="67"/>
      <c r="B20" s="68"/>
      <c r="C20" s="68"/>
      <c r="D20" s="43"/>
      <c r="E20" s="44"/>
      <c r="F20" s="69"/>
    </row>
  </sheetData>
  <mergeCells count="1">
    <mergeCell ref="A1:F1"/>
  </mergeCells>
  <printOptions horizontalCentered="1"/>
  <pageMargins left="0.393055555555556" right="0.393055555555556" top="0.707638888888889" bottom="0.393055555555556" header="0.747916666666667" footer="0.511805555555556"/>
  <pageSetup paperSize="9" scale="90" orientation="landscape" errors="blank"/>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showGridLines="0" showZeros="0" tabSelected="1" workbookViewId="0">
      <pane topLeftCell="A1" activePane="bottomRight" state="frozen"/>
      <selection activeCell="C7" sqref="C7"/>
    </sheetView>
  </sheetViews>
  <sheetFormatPr defaultColWidth="8" defaultRowHeight="14.25" outlineLevelCol="5"/>
  <cols>
    <col min="1" max="1" width="26" style="1" customWidth="1"/>
    <col min="2" max="2" width="21.375" style="1" customWidth="1"/>
    <col min="3" max="3" width="19.875" style="1" customWidth="1"/>
    <col min="4" max="4" width="23.5" style="1" customWidth="1"/>
    <col min="5" max="5" width="19.375" style="1" customWidth="1"/>
    <col min="6" max="6" width="19.625" style="1" customWidth="1"/>
    <col min="7" max="16384" width="8" style="2"/>
  </cols>
  <sheetData>
    <row r="1" ht="42.95" customHeight="1" spans="1:6">
      <c r="A1" s="3" t="s">
        <v>1452</v>
      </c>
      <c r="B1" s="4"/>
      <c r="C1" s="4"/>
      <c r="D1" s="4"/>
      <c r="E1" s="4"/>
      <c r="F1" s="4"/>
    </row>
    <row r="2" ht="17.1" customHeight="1" spans="1:6">
      <c r="A2" s="5"/>
      <c r="B2" s="5"/>
      <c r="C2" s="5"/>
      <c r="D2" s="5"/>
      <c r="E2" s="6"/>
      <c r="F2" s="7" t="s">
        <v>1423</v>
      </c>
    </row>
    <row r="3" ht="28.5" customHeight="1" spans="1:6">
      <c r="A3" s="8" t="s">
        <v>1400</v>
      </c>
      <c r="B3" s="8" t="s">
        <v>1424</v>
      </c>
      <c r="C3" s="8" t="s">
        <v>5</v>
      </c>
      <c r="D3" s="8" t="s">
        <v>1400</v>
      </c>
      <c r="E3" s="8" t="s">
        <v>1424</v>
      </c>
      <c r="F3" s="8" t="s">
        <v>5</v>
      </c>
    </row>
    <row r="4" ht="24" customHeight="1" spans="1:6">
      <c r="A4" s="9" t="s">
        <v>1453</v>
      </c>
      <c r="B4" s="10">
        <v>20382.57</v>
      </c>
      <c r="C4" s="11">
        <v>16405.35</v>
      </c>
      <c r="D4" s="12" t="s">
        <v>1454</v>
      </c>
      <c r="E4" s="13">
        <v>36812.39</v>
      </c>
      <c r="F4" s="13">
        <v>39329.5</v>
      </c>
    </row>
    <row r="5" ht="24" customHeight="1" spans="1:6">
      <c r="A5" s="9" t="s">
        <v>1455</v>
      </c>
      <c r="B5" s="10">
        <v>15318.82</v>
      </c>
      <c r="C5" s="11">
        <v>15931.57</v>
      </c>
      <c r="D5" s="12" t="s">
        <v>1456</v>
      </c>
      <c r="E5" s="13">
        <v>279.13</v>
      </c>
      <c r="F5" s="13">
        <v>279.2</v>
      </c>
    </row>
    <row r="6" ht="24" customHeight="1" spans="1:6">
      <c r="A6" s="14" t="s">
        <v>1429</v>
      </c>
      <c r="B6" s="10">
        <v>16293</v>
      </c>
      <c r="C6" s="15">
        <v>22787</v>
      </c>
      <c r="D6" s="16" t="s">
        <v>1457</v>
      </c>
      <c r="E6" s="13"/>
      <c r="F6" s="13"/>
    </row>
    <row r="7" ht="24" customHeight="1" spans="1:6">
      <c r="A7" s="14" t="s">
        <v>1458</v>
      </c>
      <c r="B7" s="10">
        <v>12986</v>
      </c>
      <c r="C7" s="15">
        <v>19480</v>
      </c>
      <c r="D7" s="16"/>
      <c r="E7" s="17">
        <v>0</v>
      </c>
      <c r="F7" s="17">
        <v>0</v>
      </c>
    </row>
    <row r="8" ht="24" customHeight="1" spans="1:6">
      <c r="A8" s="14" t="s">
        <v>1459</v>
      </c>
      <c r="B8" s="18">
        <v>21</v>
      </c>
      <c r="C8" s="19">
        <v>21</v>
      </c>
      <c r="D8" s="20" t="s">
        <v>1436</v>
      </c>
      <c r="E8" s="20" t="s">
        <v>1436</v>
      </c>
      <c r="F8" s="21" t="s">
        <v>1436</v>
      </c>
    </row>
    <row r="9" ht="24" customHeight="1" spans="1:6">
      <c r="A9" s="22" t="s">
        <v>1460</v>
      </c>
      <c r="B9" s="10">
        <v>395.6</v>
      </c>
      <c r="C9" s="23">
        <v>395.6</v>
      </c>
      <c r="D9" s="20" t="s">
        <v>1436</v>
      </c>
      <c r="E9" s="20" t="s">
        <v>1436</v>
      </c>
      <c r="F9" s="21" t="s">
        <v>1436</v>
      </c>
    </row>
    <row r="10" ht="24" customHeight="1" spans="1:6">
      <c r="A10" s="14" t="s">
        <v>1461</v>
      </c>
      <c r="B10" s="18">
        <v>10.06</v>
      </c>
      <c r="C10" s="19">
        <v>0</v>
      </c>
      <c r="D10" s="20" t="s">
        <v>1436</v>
      </c>
      <c r="E10" s="20" t="s">
        <v>1436</v>
      </c>
      <c r="F10" s="21" t="s">
        <v>1436</v>
      </c>
    </row>
    <row r="11" ht="24" customHeight="1" spans="1:6">
      <c r="A11" s="14" t="s">
        <v>1462</v>
      </c>
      <c r="B11" s="24">
        <v>0</v>
      </c>
      <c r="C11" s="23">
        <v>0</v>
      </c>
      <c r="D11" s="20" t="s">
        <v>1436</v>
      </c>
      <c r="E11" s="20" t="s">
        <v>1436</v>
      </c>
      <c r="F11" s="25" t="s">
        <v>1436</v>
      </c>
    </row>
    <row r="12" ht="24" customHeight="1" spans="1:6">
      <c r="A12" s="26" t="s">
        <v>1463</v>
      </c>
      <c r="B12" s="27">
        <f>B4+B6+B8+B9+B10</f>
        <v>37102.23</v>
      </c>
      <c r="C12" s="28">
        <f>C4+C6+C8+C9+C10</f>
        <v>39608.95</v>
      </c>
      <c r="D12" s="29" t="s">
        <v>1464</v>
      </c>
      <c r="E12" s="30">
        <f>E4+E6+E5</f>
        <v>37091.52</v>
      </c>
      <c r="F12" s="30">
        <f>F4+F6+F5</f>
        <v>39608.7</v>
      </c>
    </row>
    <row r="13" ht="24" customHeight="1" spans="1:6">
      <c r="A13" s="14" t="s">
        <v>1465</v>
      </c>
      <c r="B13" s="31">
        <v>0</v>
      </c>
      <c r="C13" s="28">
        <v>0</v>
      </c>
      <c r="D13" s="32" t="s">
        <v>1466</v>
      </c>
      <c r="E13" s="33">
        <v>0</v>
      </c>
      <c r="F13" s="34">
        <v>0</v>
      </c>
    </row>
    <row r="14" ht="24" customHeight="1" spans="1:6">
      <c r="A14" s="14" t="s">
        <v>1467</v>
      </c>
      <c r="B14" s="35">
        <v>0</v>
      </c>
      <c r="C14" s="28">
        <v>0</v>
      </c>
      <c r="D14" s="32" t="s">
        <v>1468</v>
      </c>
      <c r="E14" s="36">
        <v>0</v>
      </c>
      <c r="F14" s="27">
        <v>0</v>
      </c>
    </row>
    <row r="15" ht="24" customHeight="1" spans="1:6">
      <c r="A15" s="26" t="s">
        <v>1469</v>
      </c>
      <c r="B15" s="34">
        <f t="shared" ref="B15:F15" si="0">B12+B13+B14</f>
        <v>37102.23</v>
      </c>
      <c r="C15" s="37">
        <f t="shared" si="0"/>
        <v>39608.95</v>
      </c>
      <c r="D15" s="29" t="s">
        <v>1470</v>
      </c>
      <c r="E15" s="38">
        <f t="shared" si="0"/>
        <v>37091.52</v>
      </c>
      <c r="F15" s="39">
        <f t="shared" si="0"/>
        <v>39608.7</v>
      </c>
    </row>
    <row r="16" ht="24" customHeight="1" spans="1:6">
      <c r="A16" s="40" t="s">
        <v>1436</v>
      </c>
      <c r="B16" s="41" t="s">
        <v>1436</v>
      </c>
      <c r="C16" s="42" t="s">
        <v>1436</v>
      </c>
      <c r="D16" s="29" t="s">
        <v>1471</v>
      </c>
      <c r="E16" s="38">
        <f>B15-E15</f>
        <v>10.7099999999991</v>
      </c>
      <c r="F16" s="39">
        <f>C15-F15</f>
        <v>0.25</v>
      </c>
    </row>
    <row r="17" ht="24" customHeight="1" spans="1:6">
      <c r="A17" s="26" t="s">
        <v>1472</v>
      </c>
      <c r="B17" s="34">
        <v>3140.21</v>
      </c>
      <c r="C17" s="28">
        <f>E17</f>
        <v>3150.92</v>
      </c>
      <c r="D17" s="29" t="s">
        <v>1473</v>
      </c>
      <c r="E17" s="38">
        <f>B17+E16</f>
        <v>3150.92</v>
      </c>
      <c r="F17" s="39">
        <f>C17+F16</f>
        <v>3151.17</v>
      </c>
    </row>
    <row r="18" ht="28.5" customHeight="1" spans="1:6">
      <c r="A18" s="43"/>
      <c r="B18" s="44"/>
      <c r="C18" s="44"/>
      <c r="D18" s="43"/>
      <c r="E18" s="44"/>
      <c r="F18" s="45"/>
    </row>
  </sheetData>
  <mergeCells count="1">
    <mergeCell ref="A1:F1"/>
  </mergeCells>
  <printOptions horizontalCentered="1"/>
  <pageMargins left="0.393055555555556" right="0.393055555555556" top="0.94375" bottom="0.393055555555556" header="0.511805555555556" footer="0.511805555555556"/>
  <pageSetup paperSize="9" scale="90" orientation="landscape" errors="blank"/>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K38"/>
  <sheetViews>
    <sheetView workbookViewId="0">
      <selection activeCell="C10" sqref="A1:F38"/>
    </sheetView>
  </sheetViews>
  <sheetFormatPr defaultColWidth="10" defaultRowHeight="14.25"/>
  <cols>
    <col min="1" max="1" width="34.125" style="286" customWidth="1"/>
    <col min="2" max="2" width="10.75" style="286" customWidth="1"/>
    <col min="3" max="3" width="10.75" style="407" customWidth="1"/>
    <col min="4" max="5" width="10.75" style="286" customWidth="1"/>
    <col min="6" max="6" width="11.75" style="286" customWidth="1"/>
    <col min="7" max="10" width="10" style="286"/>
    <col min="11" max="11" width="14.125" style="286" customWidth="1"/>
    <col min="12" max="243" width="10" style="286"/>
    <col min="244" max="16375" width="10" style="408"/>
    <col min="16376" max="16378" width="10" style="409"/>
  </cols>
  <sheetData>
    <row r="1" s="286" customFormat="1" ht="25.5" spans="1:245">
      <c r="A1" s="410" t="s">
        <v>104</v>
      </c>
      <c r="B1" s="410"/>
      <c r="C1" s="410"/>
      <c r="D1" s="410"/>
      <c r="E1" s="410"/>
      <c r="F1" s="410"/>
      <c r="IJ1" s="408"/>
      <c r="IK1" s="408"/>
    </row>
    <row r="2" s="286" customFormat="1" ht="18" customHeight="1" spans="1:245">
      <c r="A2" s="411"/>
      <c r="B2" s="411"/>
      <c r="C2" s="412"/>
      <c r="D2" s="411"/>
      <c r="E2" s="411"/>
      <c r="F2" s="413" t="s">
        <v>1</v>
      </c>
      <c r="IJ2" s="408"/>
      <c r="IK2" s="408"/>
    </row>
    <row r="3" s="286" customFormat="1" ht="18" customHeight="1" spans="1:245">
      <c r="A3" s="414" t="s">
        <v>105</v>
      </c>
      <c r="B3" s="414"/>
      <c r="C3" s="415"/>
      <c r="D3" s="414"/>
      <c r="E3" s="414"/>
      <c r="F3" s="416" t="s">
        <v>106</v>
      </c>
      <c r="IJ3" s="408"/>
      <c r="IK3" s="408"/>
    </row>
    <row r="4" s="286" customFormat="1" ht="30.95" customHeight="1" spans="1:245">
      <c r="A4" s="414" t="s">
        <v>4</v>
      </c>
      <c r="B4" s="417" t="s">
        <v>107</v>
      </c>
      <c r="C4" s="418" t="s">
        <v>108</v>
      </c>
      <c r="D4" s="417" t="s">
        <v>10</v>
      </c>
      <c r="E4" s="417" t="s">
        <v>109</v>
      </c>
      <c r="F4" s="419"/>
      <c r="IJ4" s="408"/>
      <c r="IK4" s="408"/>
    </row>
    <row r="5" s="286" customFormat="1" ht="18" customHeight="1" spans="1:245">
      <c r="A5" s="420" t="s">
        <v>12</v>
      </c>
      <c r="B5" s="421">
        <f>SUM(B6:B19)</f>
        <v>91011</v>
      </c>
      <c r="C5" s="421">
        <f>SUM(C6:C19)</f>
        <v>84225</v>
      </c>
      <c r="D5" s="421">
        <f>B5-C5</f>
        <v>6786</v>
      </c>
      <c r="E5" s="422">
        <f>D5/C5*100</f>
        <v>8.05699020480855</v>
      </c>
      <c r="F5" s="421">
        <v>82300</v>
      </c>
      <c r="IJ5" s="408"/>
      <c r="IK5" s="408"/>
    </row>
    <row r="6" s="286" customFormat="1" ht="18" customHeight="1" spans="1:245">
      <c r="A6" s="423" t="s">
        <v>110</v>
      </c>
      <c r="B6" s="424">
        <v>18310</v>
      </c>
      <c r="C6" s="425">
        <v>16431</v>
      </c>
      <c r="D6" s="421">
        <f t="shared" ref="D6:D19" si="0">B6-C6</f>
        <v>1879</v>
      </c>
      <c r="E6" s="422">
        <f t="shared" ref="E6:E41" si="1">D6/C6*100</f>
        <v>11.4357008094456</v>
      </c>
      <c r="F6" s="426">
        <v>8810</v>
      </c>
      <c r="IJ6" s="408"/>
      <c r="IK6" s="408"/>
    </row>
    <row r="7" s="286" customFormat="1" ht="18" customHeight="1" spans="1:245">
      <c r="A7" s="427" t="s">
        <v>111</v>
      </c>
      <c r="B7" s="424">
        <v>2677</v>
      </c>
      <c r="C7" s="425">
        <v>2308</v>
      </c>
      <c r="D7" s="421">
        <f t="shared" si="0"/>
        <v>369</v>
      </c>
      <c r="E7" s="422">
        <f t="shared" si="1"/>
        <v>15.9878682842288</v>
      </c>
      <c r="F7" s="426">
        <v>3677</v>
      </c>
      <c r="IJ7" s="408"/>
      <c r="IK7" s="408"/>
    </row>
    <row r="8" s="286" customFormat="1" ht="18" customHeight="1" spans="1:245">
      <c r="A8" s="427" t="s">
        <v>112</v>
      </c>
      <c r="B8" s="424">
        <v>617</v>
      </c>
      <c r="C8" s="425">
        <v>556</v>
      </c>
      <c r="D8" s="421">
        <f t="shared" si="0"/>
        <v>61</v>
      </c>
      <c r="E8" s="422">
        <f t="shared" si="1"/>
        <v>10.9712230215827</v>
      </c>
      <c r="F8" s="426">
        <v>565</v>
      </c>
      <c r="K8" s="428"/>
      <c r="IJ8" s="408"/>
      <c r="IK8" s="408"/>
    </row>
    <row r="9" s="286" customFormat="1" ht="18" customHeight="1" spans="1:245">
      <c r="A9" s="427" t="s">
        <v>113</v>
      </c>
      <c r="B9" s="424">
        <v>112</v>
      </c>
      <c r="C9" s="425">
        <v>102</v>
      </c>
      <c r="D9" s="421">
        <f t="shared" si="0"/>
        <v>10</v>
      </c>
      <c r="E9" s="422">
        <f t="shared" si="1"/>
        <v>9.80392156862745</v>
      </c>
      <c r="F9" s="426">
        <v>89</v>
      </c>
      <c r="IJ9" s="408"/>
      <c r="IK9" s="408"/>
    </row>
    <row r="10" s="286" customFormat="1" ht="18" customHeight="1" spans="1:245">
      <c r="A10" s="427" t="s">
        <v>114</v>
      </c>
      <c r="B10" s="424">
        <v>721</v>
      </c>
      <c r="C10" s="425">
        <v>660</v>
      </c>
      <c r="D10" s="421">
        <f t="shared" si="0"/>
        <v>61</v>
      </c>
      <c r="E10" s="422">
        <f t="shared" si="1"/>
        <v>9.24242424242424</v>
      </c>
      <c r="F10" s="426">
        <v>820</v>
      </c>
      <c r="IJ10" s="408"/>
      <c r="IK10" s="408"/>
    </row>
    <row r="11" s="286" customFormat="1" ht="18" customHeight="1" spans="1:245">
      <c r="A11" s="427" t="s">
        <v>115</v>
      </c>
      <c r="B11" s="424">
        <v>1485</v>
      </c>
      <c r="C11" s="425">
        <v>1356</v>
      </c>
      <c r="D11" s="421">
        <f t="shared" si="0"/>
        <v>129</v>
      </c>
      <c r="E11" s="422">
        <f t="shared" si="1"/>
        <v>9.51327433628319</v>
      </c>
      <c r="F11" s="426">
        <v>1249</v>
      </c>
      <c r="IJ11" s="408"/>
      <c r="IK11" s="408"/>
    </row>
    <row r="12" s="286" customFormat="1" ht="18" customHeight="1" spans="1:245">
      <c r="A12" s="427" t="s">
        <v>116</v>
      </c>
      <c r="B12" s="424">
        <v>1211</v>
      </c>
      <c r="C12" s="425">
        <v>1106</v>
      </c>
      <c r="D12" s="421">
        <f t="shared" si="0"/>
        <v>105</v>
      </c>
      <c r="E12" s="422">
        <f t="shared" si="1"/>
        <v>9.49367088607595</v>
      </c>
      <c r="F12" s="426">
        <v>687</v>
      </c>
      <c r="IJ12" s="408"/>
      <c r="IK12" s="408"/>
    </row>
    <row r="13" s="286" customFormat="1" ht="18" customHeight="1" spans="1:245">
      <c r="A13" s="427" t="s">
        <v>117</v>
      </c>
      <c r="B13" s="424">
        <v>1100</v>
      </c>
      <c r="C13" s="425">
        <v>1005</v>
      </c>
      <c r="D13" s="421">
        <f t="shared" si="0"/>
        <v>95</v>
      </c>
      <c r="E13" s="422">
        <f t="shared" si="1"/>
        <v>9.45273631840796</v>
      </c>
      <c r="F13" s="426">
        <v>683</v>
      </c>
      <c r="IJ13" s="408"/>
      <c r="IK13" s="408"/>
    </row>
    <row r="14" s="286" customFormat="1" ht="18" customHeight="1" spans="1:245">
      <c r="A14" s="427" t="s">
        <v>118</v>
      </c>
      <c r="B14" s="424">
        <v>992</v>
      </c>
      <c r="C14" s="425">
        <v>935</v>
      </c>
      <c r="D14" s="421">
        <f t="shared" si="0"/>
        <v>57</v>
      </c>
      <c r="E14" s="422">
        <f t="shared" si="1"/>
        <v>6.09625668449198</v>
      </c>
      <c r="F14" s="426">
        <v>1009</v>
      </c>
      <c r="IJ14" s="408"/>
      <c r="IK14" s="408"/>
    </row>
    <row r="15" s="286" customFormat="1" ht="18" customHeight="1" spans="1:245">
      <c r="A15" s="427" t="s">
        <v>119</v>
      </c>
      <c r="B15" s="424">
        <v>47052</v>
      </c>
      <c r="C15" s="425">
        <v>44092</v>
      </c>
      <c r="D15" s="421">
        <f t="shared" si="0"/>
        <v>2960</v>
      </c>
      <c r="E15" s="422">
        <f t="shared" si="1"/>
        <v>6.71323596117209</v>
      </c>
      <c r="F15" s="426">
        <v>3334</v>
      </c>
      <c r="IJ15" s="408"/>
      <c r="IK15" s="408"/>
    </row>
    <row r="16" s="286" customFormat="1" ht="18" customHeight="1" spans="1:245">
      <c r="A16" s="427" t="s">
        <v>120</v>
      </c>
      <c r="B16" s="424">
        <v>1015</v>
      </c>
      <c r="C16" s="425">
        <v>930</v>
      </c>
      <c r="D16" s="421">
        <f t="shared" si="0"/>
        <v>85</v>
      </c>
      <c r="E16" s="422">
        <f t="shared" si="1"/>
        <v>9.13978494623656</v>
      </c>
      <c r="F16" s="426">
        <v>984</v>
      </c>
      <c r="IJ16" s="408"/>
      <c r="IK16" s="408"/>
    </row>
    <row r="17" s="286" customFormat="1" ht="18" customHeight="1" spans="1:245">
      <c r="A17" s="427" t="s">
        <v>121</v>
      </c>
      <c r="B17" s="424">
        <v>6623</v>
      </c>
      <c r="C17" s="425">
        <v>6232</v>
      </c>
      <c r="D17" s="421">
        <f t="shared" si="0"/>
        <v>391</v>
      </c>
      <c r="E17" s="422">
        <f t="shared" si="1"/>
        <v>6.27406931964056</v>
      </c>
      <c r="F17" s="426">
        <v>34849</v>
      </c>
      <c r="IJ17" s="408"/>
      <c r="IK17" s="408"/>
    </row>
    <row r="18" s="286" customFormat="1" ht="18" customHeight="1" spans="1:245">
      <c r="A18" s="427" t="s">
        <v>122</v>
      </c>
      <c r="B18" s="424">
        <v>7711</v>
      </c>
      <c r="C18" s="425">
        <v>7247</v>
      </c>
      <c r="D18" s="421">
        <f t="shared" si="0"/>
        <v>464</v>
      </c>
      <c r="E18" s="422">
        <f t="shared" si="1"/>
        <v>6.40264937215399</v>
      </c>
      <c r="F18" s="426">
        <v>24553</v>
      </c>
      <c r="IJ18" s="408"/>
      <c r="IK18" s="408"/>
    </row>
    <row r="19" s="286" customFormat="1" ht="18" customHeight="1" spans="1:245">
      <c r="A19" s="427" t="s">
        <v>123</v>
      </c>
      <c r="B19" s="424">
        <v>1385</v>
      </c>
      <c r="C19" s="429">
        <v>1265</v>
      </c>
      <c r="D19" s="421">
        <f t="shared" si="0"/>
        <v>120</v>
      </c>
      <c r="E19" s="422">
        <f t="shared" si="1"/>
        <v>9.48616600790514</v>
      </c>
      <c r="F19" s="426">
        <v>991</v>
      </c>
      <c r="IJ19" s="408"/>
      <c r="IK19" s="408"/>
    </row>
    <row r="20" s="286" customFormat="1" ht="18" customHeight="1" spans="1:245">
      <c r="A20" s="427" t="s">
        <v>124</v>
      </c>
      <c r="B20" s="424">
        <f>C20*1.085</f>
        <v>0</v>
      </c>
      <c r="C20" s="429"/>
      <c r="D20" s="421"/>
      <c r="E20" s="422"/>
      <c r="F20" s="422"/>
      <c r="IJ20" s="408"/>
      <c r="IK20" s="408"/>
    </row>
    <row r="21" s="286" customFormat="1" ht="18" customHeight="1" spans="1:245">
      <c r="A21" s="420" t="s">
        <v>15</v>
      </c>
      <c r="B21" s="424">
        <v>39000</v>
      </c>
      <c r="C21" s="426">
        <f>C22+C32+C33+C35+C36+C37</f>
        <v>35600</v>
      </c>
      <c r="D21" s="421">
        <f t="shared" ref="D21:D41" si="2">B21-C21</f>
        <v>3400</v>
      </c>
      <c r="E21" s="422">
        <f t="shared" si="1"/>
        <v>9.55056179775281</v>
      </c>
      <c r="F21" s="421">
        <v>30830</v>
      </c>
      <c r="IJ21" s="408"/>
      <c r="IK21" s="408"/>
    </row>
    <row r="22" s="286" customFormat="1" ht="18" customHeight="1" spans="1:245">
      <c r="A22" s="430" t="s">
        <v>125</v>
      </c>
      <c r="B22" s="424">
        <v>3080</v>
      </c>
      <c r="C22" s="426">
        <f>SUM(C23:C31)</f>
        <v>2809</v>
      </c>
      <c r="D22" s="421">
        <f t="shared" si="2"/>
        <v>271</v>
      </c>
      <c r="E22" s="422">
        <f t="shared" si="1"/>
        <v>9.64756140975436</v>
      </c>
      <c r="F22" s="422">
        <v>3691</v>
      </c>
      <c r="IJ22" s="408"/>
      <c r="IK22" s="408"/>
    </row>
    <row r="23" s="286" customFormat="1" ht="18" customHeight="1" spans="1:245">
      <c r="A23" s="431" t="s">
        <v>126</v>
      </c>
      <c r="B23" s="424">
        <v>950</v>
      </c>
      <c r="C23" s="429">
        <v>868</v>
      </c>
      <c r="D23" s="421">
        <f t="shared" si="2"/>
        <v>82</v>
      </c>
      <c r="E23" s="422">
        <f t="shared" si="1"/>
        <v>9.44700460829493</v>
      </c>
      <c r="F23" s="426">
        <v>747</v>
      </c>
      <c r="IJ23" s="408"/>
      <c r="IK23" s="408"/>
    </row>
    <row r="24" s="286" customFormat="1" ht="18" customHeight="1" spans="1:245">
      <c r="A24" s="431" t="s">
        <v>127</v>
      </c>
      <c r="B24" s="424">
        <v>630</v>
      </c>
      <c r="C24" s="429">
        <v>574</v>
      </c>
      <c r="D24" s="421">
        <f t="shared" si="2"/>
        <v>56</v>
      </c>
      <c r="E24" s="422">
        <f t="shared" si="1"/>
        <v>9.75609756097561</v>
      </c>
      <c r="F24" s="426">
        <v>498</v>
      </c>
      <c r="IJ24" s="408"/>
      <c r="IK24" s="408"/>
    </row>
    <row r="25" s="286" customFormat="1" ht="18" customHeight="1" spans="1:245">
      <c r="A25" s="431" t="s">
        <v>128</v>
      </c>
      <c r="B25" s="424">
        <f>C25*1.085</f>
        <v>0</v>
      </c>
      <c r="C25" s="429"/>
      <c r="D25" s="421"/>
      <c r="E25" s="422"/>
      <c r="F25" s="426"/>
      <c r="IJ25" s="408"/>
      <c r="IK25" s="408"/>
    </row>
    <row r="26" s="286" customFormat="1" ht="18" customHeight="1" spans="1:245">
      <c r="A26" s="431" t="s">
        <v>129</v>
      </c>
      <c r="B26" s="424">
        <f>C26*1.085</f>
        <v>0</v>
      </c>
      <c r="C26" s="429"/>
      <c r="D26" s="421"/>
      <c r="E26" s="422"/>
      <c r="F26" s="426"/>
      <c r="IJ26" s="408"/>
      <c r="IK26" s="408"/>
    </row>
    <row r="27" s="286" customFormat="1" ht="18" customHeight="1" spans="1:245">
      <c r="A27" s="431" t="s">
        <v>130</v>
      </c>
      <c r="B27" s="424">
        <v>530</v>
      </c>
      <c r="C27" s="429">
        <v>483</v>
      </c>
      <c r="D27" s="421">
        <f t="shared" si="2"/>
        <v>47</v>
      </c>
      <c r="E27" s="422">
        <f t="shared" si="1"/>
        <v>9.73084886128364</v>
      </c>
      <c r="F27" s="426">
        <v>1508</v>
      </c>
      <c r="IJ27" s="408"/>
      <c r="IK27" s="408"/>
    </row>
    <row r="28" s="286" customFormat="1" ht="18" customHeight="1" spans="1:245">
      <c r="A28" s="431" t="s">
        <v>131</v>
      </c>
      <c r="B28" s="424">
        <v>130</v>
      </c>
      <c r="C28" s="429">
        <v>116</v>
      </c>
      <c r="D28" s="421">
        <f t="shared" si="2"/>
        <v>14</v>
      </c>
      <c r="E28" s="422">
        <f t="shared" si="1"/>
        <v>12.0689655172414</v>
      </c>
      <c r="F28" s="426">
        <v>263</v>
      </c>
      <c r="IJ28" s="408"/>
      <c r="IK28" s="408"/>
    </row>
    <row r="29" s="286" customFormat="1" ht="18" customHeight="1" spans="1:245">
      <c r="A29" s="431" t="s">
        <v>132</v>
      </c>
      <c r="B29" s="424">
        <f>C29*1.085</f>
        <v>0</v>
      </c>
      <c r="C29" s="429"/>
      <c r="D29" s="421"/>
      <c r="E29" s="422"/>
      <c r="F29" s="426"/>
      <c r="IJ29" s="408"/>
      <c r="IK29" s="408"/>
    </row>
    <row r="30" s="286" customFormat="1" ht="18" customHeight="1" spans="1:245">
      <c r="A30" s="431" t="s">
        <v>133</v>
      </c>
      <c r="B30" s="424">
        <v>835</v>
      </c>
      <c r="C30" s="429">
        <v>763</v>
      </c>
      <c r="D30" s="421">
        <f t="shared" si="2"/>
        <v>72</v>
      </c>
      <c r="E30" s="422">
        <f t="shared" si="1"/>
        <v>9.43643512450852</v>
      </c>
      <c r="F30" s="426">
        <v>644</v>
      </c>
      <c r="IJ30" s="408"/>
      <c r="IK30" s="408"/>
    </row>
    <row r="31" s="286" customFormat="1" ht="18" customHeight="1" spans="1:245">
      <c r="A31" s="431" t="s">
        <v>134</v>
      </c>
      <c r="B31" s="424">
        <f>C31*1.085</f>
        <v>5.425</v>
      </c>
      <c r="C31" s="429">
        <v>5</v>
      </c>
      <c r="D31" s="421">
        <f t="shared" si="2"/>
        <v>0.425</v>
      </c>
      <c r="E31" s="422">
        <f t="shared" si="1"/>
        <v>8.5</v>
      </c>
      <c r="F31" s="426">
        <v>31</v>
      </c>
      <c r="IJ31" s="408"/>
      <c r="IK31" s="408"/>
    </row>
    <row r="32" s="286" customFormat="1" ht="18" customHeight="1" spans="1:245">
      <c r="A32" s="430" t="s">
        <v>135</v>
      </c>
      <c r="B32" s="424">
        <v>3335</v>
      </c>
      <c r="C32" s="429">
        <v>3049</v>
      </c>
      <c r="D32" s="421">
        <f t="shared" si="2"/>
        <v>286</v>
      </c>
      <c r="E32" s="422">
        <f t="shared" si="1"/>
        <v>9.38012463102657</v>
      </c>
      <c r="F32" s="426">
        <v>9356</v>
      </c>
      <c r="IJ32" s="408"/>
      <c r="IK32" s="408"/>
    </row>
    <row r="33" s="286" customFormat="1" ht="18" customHeight="1" spans="1:245">
      <c r="A33" s="430" t="s">
        <v>136</v>
      </c>
      <c r="B33" s="424">
        <v>3055</v>
      </c>
      <c r="C33" s="429">
        <v>2789</v>
      </c>
      <c r="D33" s="421">
        <f t="shared" si="2"/>
        <v>266</v>
      </c>
      <c r="E33" s="422">
        <f t="shared" si="1"/>
        <v>9.53746862674794</v>
      </c>
      <c r="F33" s="426">
        <v>3216</v>
      </c>
      <c r="IJ33" s="408"/>
      <c r="IK33" s="408"/>
    </row>
    <row r="34" s="286" customFormat="1" ht="18" customHeight="1" spans="1:245">
      <c r="A34" s="430" t="s">
        <v>137</v>
      </c>
      <c r="B34" s="424">
        <f>C34*1.085</f>
        <v>0</v>
      </c>
      <c r="C34" s="429"/>
      <c r="D34" s="421"/>
      <c r="E34" s="422"/>
      <c r="F34" s="426"/>
      <c r="IJ34" s="408"/>
      <c r="IK34" s="408"/>
    </row>
    <row r="35" s="286" customFormat="1" ht="18" customHeight="1" spans="1:245">
      <c r="A35" s="430" t="s">
        <v>138</v>
      </c>
      <c r="B35" s="424">
        <v>22877</v>
      </c>
      <c r="C35" s="429">
        <v>20882</v>
      </c>
      <c r="D35" s="421">
        <f t="shared" si="2"/>
        <v>1995</v>
      </c>
      <c r="E35" s="422">
        <f t="shared" si="1"/>
        <v>9.55368259745235</v>
      </c>
      <c r="F35" s="426">
        <v>10860</v>
      </c>
      <c r="IJ35" s="408"/>
      <c r="IK35" s="408"/>
    </row>
    <row r="36" s="286" customFormat="1" ht="18" customHeight="1" spans="1:245">
      <c r="A36" s="430" t="s">
        <v>139</v>
      </c>
      <c r="B36" s="424">
        <f>C36*1.085</f>
        <v>241.955</v>
      </c>
      <c r="C36" s="429">
        <v>223</v>
      </c>
      <c r="D36" s="421"/>
      <c r="E36" s="422"/>
      <c r="F36" s="426">
        <v>116</v>
      </c>
      <c r="IJ36" s="408"/>
      <c r="IK36" s="408"/>
    </row>
    <row r="37" s="286" customFormat="1" ht="18" customHeight="1" spans="1:245">
      <c r="A37" s="430" t="s">
        <v>140</v>
      </c>
      <c r="B37" s="424">
        <v>6411</v>
      </c>
      <c r="C37" s="429">
        <v>5848</v>
      </c>
      <c r="D37" s="421">
        <f t="shared" si="2"/>
        <v>563</v>
      </c>
      <c r="E37" s="422">
        <f t="shared" si="1"/>
        <v>9.62722298221614</v>
      </c>
      <c r="F37" s="426">
        <v>3591</v>
      </c>
      <c r="IJ37" s="408"/>
      <c r="IK37" s="408"/>
    </row>
    <row r="38" s="286" customFormat="1" ht="18" customHeight="1" spans="1:245">
      <c r="A38" s="432" t="s">
        <v>141</v>
      </c>
      <c r="B38" s="424">
        <f>B5+B21</f>
        <v>130011</v>
      </c>
      <c r="C38" s="421">
        <f>C5+C21</f>
        <v>119825</v>
      </c>
      <c r="D38" s="421">
        <f t="shared" si="2"/>
        <v>10186</v>
      </c>
      <c r="E38" s="422">
        <f t="shared" si="1"/>
        <v>8.50073023158773</v>
      </c>
      <c r="F38" s="421">
        <v>113130</v>
      </c>
      <c r="IJ38" s="408"/>
      <c r="IK38" s="408"/>
    </row>
  </sheetData>
  <mergeCells count="3">
    <mergeCell ref="A1:F1"/>
    <mergeCell ref="A3:E3"/>
    <mergeCell ref="F3:F4"/>
  </mergeCells>
  <dataValidations count="2">
    <dataValidation type="whole" operator="between" allowBlank="1" showInputMessage="1" showErrorMessage="1" sqref="K9">
      <formula1>-100000</formula1>
      <formula2>10000</formula2>
    </dataValidation>
    <dataValidation type="whole" operator="between" allowBlank="1" showInputMessage="1" showErrorMessage="1" sqref="J20">
      <formula1>1</formula1>
      <formula2>10000000</formula2>
    </dataValidation>
  </dataValidations>
  <pageMargins left="0.747916666666667" right="0.432638888888889" top="0.865277777777778" bottom="0.590277777777778" header="0.5" footer="0.5"/>
  <pageSetup paperSize="9" scale="9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topLeftCell="A12" workbookViewId="0">
      <selection activeCell="I40" sqref="I40"/>
    </sheetView>
  </sheetViews>
  <sheetFormatPr defaultColWidth="9" defaultRowHeight="14.25"/>
  <cols>
    <col min="1" max="1" width="31.5" customWidth="1"/>
    <col min="2" max="3" width="13.75" style="401" customWidth="1"/>
    <col min="4" max="4" width="9" style="401"/>
    <col min="5" max="5" width="10.375" style="402"/>
    <col min="6" max="6" width="26" customWidth="1"/>
    <col min="7" max="8" width="13.75" customWidth="1"/>
    <col min="10" max="10" width="9.375" style="402"/>
  </cols>
  <sheetData>
    <row r="1" ht="20.25" spans="1:10">
      <c r="A1" s="403" t="s">
        <v>142</v>
      </c>
      <c r="B1" s="403"/>
      <c r="C1" s="403"/>
      <c r="D1" s="403"/>
      <c r="E1" s="403"/>
      <c r="F1" s="403"/>
      <c r="G1" s="403"/>
      <c r="H1" s="403"/>
      <c r="I1" s="403"/>
      <c r="J1" s="403"/>
    </row>
    <row r="2" spans="1:10">
      <c r="I2" t="s">
        <v>1</v>
      </c>
    </row>
    <row r="3" spans="1:10">
      <c r="A3" s="404" t="s">
        <v>3</v>
      </c>
      <c r="B3" s="404"/>
      <c r="C3" s="404"/>
      <c r="D3" s="404"/>
      <c r="E3" s="404"/>
      <c r="F3" s="404"/>
      <c r="G3" s="404"/>
      <c r="H3" s="404"/>
      <c r="I3" s="404"/>
      <c r="J3" s="404"/>
    </row>
    <row r="4" spans="1:10">
      <c r="A4" s="89" t="s">
        <v>8</v>
      </c>
      <c r="B4" s="405" t="s">
        <v>5</v>
      </c>
      <c r="C4" s="405" t="s">
        <v>6</v>
      </c>
      <c r="D4" s="405" t="s">
        <v>7</v>
      </c>
      <c r="E4" s="406"/>
      <c r="F4" s="89" t="s">
        <v>9</v>
      </c>
      <c r="G4" s="89" t="s">
        <v>5</v>
      </c>
      <c r="H4" s="89" t="s">
        <v>6</v>
      </c>
      <c r="I4" s="89" t="s">
        <v>7</v>
      </c>
      <c r="J4" s="406"/>
    </row>
    <row r="5" spans="1:10">
      <c r="A5" s="89"/>
      <c r="B5" s="405"/>
      <c r="C5" s="405"/>
      <c r="D5" s="405" t="s">
        <v>10</v>
      </c>
      <c r="E5" s="406" t="s">
        <v>11</v>
      </c>
      <c r="F5" s="89" t="s">
        <v>9</v>
      </c>
      <c r="G5" s="89"/>
      <c r="H5" s="89"/>
      <c r="I5" s="89" t="s">
        <v>10</v>
      </c>
      <c r="J5" s="406" t="s">
        <v>11</v>
      </c>
    </row>
    <row r="6" spans="1:10">
      <c r="A6" s="89" t="s">
        <v>13</v>
      </c>
      <c r="B6" s="405">
        <v>51624.82362369</v>
      </c>
      <c r="C6" s="405">
        <v>50766.886704</v>
      </c>
      <c r="D6" s="405">
        <v>857.936919690001</v>
      </c>
      <c r="E6" s="406">
        <v>1.68995377772969</v>
      </c>
      <c r="F6" s="89" t="s">
        <v>14</v>
      </c>
      <c r="G6" s="89">
        <v>124287</v>
      </c>
      <c r="H6" s="89">
        <v>114655</v>
      </c>
      <c r="I6" s="89">
        <v>9632</v>
      </c>
      <c r="J6" s="406">
        <v>8.40085473812742</v>
      </c>
    </row>
    <row r="7" spans="1:10">
      <c r="A7" s="89" t="s">
        <v>16</v>
      </c>
      <c r="B7" s="405">
        <v>266</v>
      </c>
      <c r="C7" s="405">
        <v>274</v>
      </c>
      <c r="D7" s="405">
        <v>-8</v>
      </c>
      <c r="E7" s="406">
        <v>-2.91970802919708</v>
      </c>
      <c r="F7" s="89" t="s">
        <v>17</v>
      </c>
      <c r="G7" s="89">
        <v>51699</v>
      </c>
      <c r="H7" s="89">
        <v>55229</v>
      </c>
      <c r="I7" s="89">
        <v>-3530</v>
      </c>
      <c r="J7" s="406">
        <v>-6.39156964638143</v>
      </c>
    </row>
    <row r="8" spans="1:10">
      <c r="A8" s="89" t="s">
        <v>19</v>
      </c>
      <c r="B8" s="405">
        <v>13921.1141215</v>
      </c>
      <c r="C8" s="405">
        <v>13453.772928</v>
      </c>
      <c r="D8" s="405">
        <v>467.341193499999</v>
      </c>
      <c r="E8" s="406">
        <v>3.47368129372369</v>
      </c>
      <c r="F8" s="89" t="s">
        <v>20</v>
      </c>
      <c r="G8" s="89">
        <v>14564</v>
      </c>
      <c r="H8" s="89">
        <v>15537</v>
      </c>
      <c r="I8" s="89">
        <v>-973</v>
      </c>
      <c r="J8" s="406">
        <v>-6.26247023234859</v>
      </c>
    </row>
    <row r="9" spans="1:10">
      <c r="A9" s="89" t="s">
        <v>21</v>
      </c>
      <c r="B9" s="405">
        <v>90993.37685169</v>
      </c>
      <c r="C9" s="405">
        <v>86485.401312</v>
      </c>
      <c r="D9" s="405">
        <v>4507.97553969</v>
      </c>
      <c r="E9" s="406">
        <v>5.21241211962152</v>
      </c>
      <c r="F9" s="89" t="s">
        <v>22</v>
      </c>
      <c r="G9" s="89">
        <v>132061</v>
      </c>
      <c r="H9" s="89">
        <v>123601</v>
      </c>
      <c r="I9" s="89">
        <v>8460</v>
      </c>
      <c r="J9" s="406">
        <v>6.84460481711313</v>
      </c>
    </row>
    <row r="10" spans="1:10">
      <c r="A10" s="89" t="s">
        <v>24</v>
      </c>
      <c r="B10" s="405">
        <v>1836.19114739</v>
      </c>
      <c r="C10" s="405">
        <v>974.336336</v>
      </c>
      <c r="D10" s="405">
        <v>861.85481139</v>
      </c>
      <c r="E10" s="406">
        <v>88.4555753024898</v>
      </c>
      <c r="F10" s="89" t="s">
        <v>25</v>
      </c>
      <c r="G10" s="89">
        <v>11046</v>
      </c>
      <c r="H10" s="89">
        <v>8422</v>
      </c>
      <c r="I10" s="89">
        <v>2624</v>
      </c>
      <c r="J10" s="406">
        <v>31.1564948943244</v>
      </c>
    </row>
    <row r="11" spans="1:10">
      <c r="A11" s="89" t="s">
        <v>26</v>
      </c>
      <c r="B11" s="405">
        <v>4343.12922794</v>
      </c>
      <c r="C11" s="405">
        <v>4019</v>
      </c>
      <c r="D11" s="405">
        <v>324.12922794</v>
      </c>
      <c r="E11" s="406">
        <v>8.0649223174919</v>
      </c>
      <c r="F11" s="89" t="s">
        <v>27</v>
      </c>
      <c r="G11" s="89">
        <v>65098</v>
      </c>
      <c r="H11" s="89">
        <v>59279</v>
      </c>
      <c r="I11" s="89">
        <v>5819</v>
      </c>
      <c r="J11" s="406">
        <v>9.8162924475784</v>
      </c>
    </row>
    <row r="12" spans="1:10">
      <c r="A12" s="89" t="s">
        <v>28</v>
      </c>
      <c r="B12" s="405">
        <v>65141.96469882</v>
      </c>
      <c r="C12" s="405">
        <v>61480.57856</v>
      </c>
      <c r="D12" s="405">
        <v>3661.38613881999</v>
      </c>
      <c r="E12" s="406">
        <v>5.95535407209414</v>
      </c>
      <c r="F12" s="89" t="s">
        <v>29</v>
      </c>
      <c r="G12" s="89">
        <v>6660</v>
      </c>
      <c r="H12" s="89">
        <v>13500</v>
      </c>
      <c r="I12" s="89">
        <v>-6840</v>
      </c>
      <c r="J12" s="406">
        <v>-50.6666666666667</v>
      </c>
    </row>
    <row r="13" spans="1:10">
      <c r="A13" s="89" t="s">
        <v>30</v>
      </c>
      <c r="B13" s="405">
        <v>53553.47494489</v>
      </c>
      <c r="C13" s="405">
        <v>51578.15784</v>
      </c>
      <c r="D13" s="405">
        <v>1975.31710489</v>
      </c>
      <c r="E13" s="406">
        <v>3.82975505061194</v>
      </c>
      <c r="F13" s="89" t="s">
        <v>31</v>
      </c>
      <c r="G13" s="89"/>
      <c r="H13" s="89"/>
      <c r="I13" s="89">
        <v>0</v>
      </c>
      <c r="J13" s="406">
        <v>0</v>
      </c>
    </row>
    <row r="14" spans="1:10">
      <c r="A14" s="89" t="s">
        <v>32</v>
      </c>
      <c r="B14" s="405">
        <v>9342.8324716</v>
      </c>
      <c r="C14" s="405">
        <v>11060.638136</v>
      </c>
      <c r="D14" s="405">
        <v>-1717.8056644</v>
      </c>
      <c r="E14" s="406">
        <v>-15.5308006941201</v>
      </c>
      <c r="F14" s="89" t="s">
        <v>33</v>
      </c>
      <c r="G14" s="89"/>
      <c r="H14" s="89"/>
      <c r="I14" s="89">
        <v>0</v>
      </c>
      <c r="J14" s="406">
        <v>0</v>
      </c>
    </row>
    <row r="15" spans="1:10">
      <c r="A15" s="89" t="s">
        <v>34</v>
      </c>
      <c r="B15" s="405">
        <v>7857.49563304</v>
      </c>
      <c r="C15" s="405">
        <v>7489.648244</v>
      </c>
      <c r="D15" s="405">
        <v>367.84738904</v>
      </c>
      <c r="E15" s="406">
        <v>4.9114107506275</v>
      </c>
      <c r="F15" s="89" t="s">
        <v>35</v>
      </c>
      <c r="G15" s="89">
        <v>5000</v>
      </c>
      <c r="H15" s="89">
        <v>5000</v>
      </c>
      <c r="I15" s="89">
        <v>0</v>
      </c>
      <c r="J15" s="406">
        <v>0</v>
      </c>
    </row>
    <row r="16" spans="1:10">
      <c r="A16" s="89" t="s">
        <v>36</v>
      </c>
      <c r="B16" s="405">
        <v>70742.58413403</v>
      </c>
      <c r="C16" s="405">
        <v>64259.384832</v>
      </c>
      <c r="D16" s="405">
        <v>6483.19930202999</v>
      </c>
      <c r="E16" s="406">
        <v>10.0891088811069</v>
      </c>
      <c r="F16" s="89" t="s">
        <v>37</v>
      </c>
      <c r="G16" s="89">
        <v>2739</v>
      </c>
      <c r="H16" s="89">
        <v>4988</v>
      </c>
      <c r="I16" s="89">
        <v>-2249</v>
      </c>
      <c r="J16" s="406">
        <v>-45.0882117080994</v>
      </c>
    </row>
    <row r="17" spans="1:10">
      <c r="A17" s="89" t="s">
        <v>38</v>
      </c>
      <c r="B17" s="405">
        <v>12720.29979079</v>
      </c>
      <c r="C17" s="405">
        <v>7735.645368</v>
      </c>
      <c r="D17" s="405">
        <v>4984.65442279</v>
      </c>
      <c r="E17" s="406">
        <v>64.437473354324</v>
      </c>
      <c r="F17" s="89"/>
      <c r="G17" s="89"/>
      <c r="H17" s="89"/>
      <c r="I17" s="89">
        <v>0</v>
      </c>
      <c r="J17" s="406"/>
    </row>
    <row r="18" spans="1:10">
      <c r="A18" s="89" t="s">
        <v>39</v>
      </c>
      <c r="B18" s="405">
        <v>1846.4</v>
      </c>
      <c r="C18" s="405">
        <v>3059</v>
      </c>
      <c r="D18" s="405">
        <v>-1212.6</v>
      </c>
      <c r="E18" s="406">
        <v>-39.6404053612292</v>
      </c>
      <c r="F18" s="89"/>
      <c r="G18" s="89"/>
      <c r="H18" s="89"/>
      <c r="I18" s="89">
        <v>0</v>
      </c>
      <c r="J18" s="406"/>
    </row>
    <row r="19" spans="1:10">
      <c r="A19" s="89" t="s">
        <v>40</v>
      </c>
      <c r="B19" s="405">
        <v>1235.0126379</v>
      </c>
      <c r="C19" s="405">
        <v>895.386328</v>
      </c>
      <c r="D19" s="405">
        <v>339.6263099</v>
      </c>
      <c r="E19" s="406">
        <v>37.9307008918278</v>
      </c>
      <c r="F19" s="89"/>
      <c r="G19" s="89"/>
      <c r="H19" s="89"/>
      <c r="I19" s="89">
        <v>0</v>
      </c>
      <c r="J19" s="406"/>
    </row>
    <row r="20" spans="1:10">
      <c r="A20" s="89" t="s">
        <v>41</v>
      </c>
      <c r="B20" s="405">
        <v>4153.37285559</v>
      </c>
      <c r="C20" s="405">
        <v>3895.777792</v>
      </c>
      <c r="D20" s="405">
        <v>257.59506359</v>
      </c>
      <c r="E20" s="406">
        <v>6.61216007029386</v>
      </c>
      <c r="F20" s="89"/>
      <c r="G20" s="89"/>
      <c r="H20" s="89"/>
      <c r="I20" s="89">
        <v>0</v>
      </c>
      <c r="J20" s="406"/>
    </row>
    <row r="21" spans="1:10">
      <c r="A21" s="89" t="s">
        <v>42</v>
      </c>
      <c r="B21" s="405">
        <v>4707</v>
      </c>
      <c r="C21" s="405">
        <v>5430</v>
      </c>
      <c r="D21" s="405">
        <v>-723</v>
      </c>
      <c r="E21" s="406">
        <v>-13.3149171270718</v>
      </c>
      <c r="F21" s="89"/>
      <c r="G21" s="89"/>
      <c r="H21" s="89"/>
      <c r="I21" s="89">
        <v>0</v>
      </c>
      <c r="J21" s="406"/>
    </row>
    <row r="22" spans="1:10">
      <c r="A22" s="89" t="s">
        <v>43</v>
      </c>
      <c r="B22" s="405">
        <v>675.9589157</v>
      </c>
      <c r="C22" s="405">
        <v>712.779248</v>
      </c>
      <c r="D22" s="405">
        <v>-36.8203323</v>
      </c>
      <c r="E22" s="406">
        <v>-5.16574134324405</v>
      </c>
      <c r="F22" s="89"/>
      <c r="G22" s="89"/>
      <c r="H22" s="89"/>
      <c r="I22" s="89">
        <v>0</v>
      </c>
      <c r="J22" s="406"/>
    </row>
    <row r="23" spans="1:10">
      <c r="A23" s="89" t="s">
        <v>44</v>
      </c>
      <c r="B23" s="405">
        <v>12</v>
      </c>
      <c r="C23" s="405">
        <v>120</v>
      </c>
      <c r="D23" s="405">
        <v>-108</v>
      </c>
      <c r="E23" s="406">
        <v>-90</v>
      </c>
      <c r="F23" s="89"/>
      <c r="G23" s="89"/>
      <c r="H23" s="89"/>
      <c r="I23" s="89"/>
      <c r="J23" s="406"/>
    </row>
    <row r="24" spans="1:10">
      <c r="A24" s="89" t="s">
        <v>45</v>
      </c>
      <c r="B24" s="405">
        <v>2456.5967777</v>
      </c>
      <c r="C24" s="405">
        <v>3032.16884</v>
      </c>
      <c r="D24" s="405">
        <v>-575.5720623</v>
      </c>
      <c r="E24" s="406">
        <v>-18.9821903947803</v>
      </c>
      <c r="F24" s="89"/>
      <c r="G24" s="89"/>
      <c r="H24" s="89"/>
      <c r="I24" s="89">
        <v>0</v>
      </c>
      <c r="J24" s="406"/>
    </row>
    <row r="25" spans="1:10">
      <c r="A25" s="89" t="s">
        <v>46</v>
      </c>
      <c r="B25" s="405">
        <v>5000</v>
      </c>
      <c r="C25" s="405">
        <v>5000</v>
      </c>
      <c r="D25" s="405">
        <v>0</v>
      </c>
      <c r="E25" s="406">
        <v>0</v>
      </c>
      <c r="F25" s="89"/>
      <c r="G25" s="89"/>
      <c r="H25" s="89"/>
      <c r="I25" s="89">
        <v>0</v>
      </c>
      <c r="J25" s="406"/>
    </row>
    <row r="26" spans="1:10">
      <c r="A26" s="89" t="s">
        <v>47</v>
      </c>
      <c r="B26" s="405">
        <v>6660</v>
      </c>
      <c r="C26" s="405">
        <v>13500</v>
      </c>
      <c r="D26" s="405">
        <v>-6840</v>
      </c>
      <c r="E26" s="406">
        <v>-50.6666666666667</v>
      </c>
      <c r="F26" s="89"/>
      <c r="G26" s="89"/>
      <c r="H26" s="89"/>
      <c r="I26" s="89">
        <v>0</v>
      </c>
      <c r="J26" s="406"/>
    </row>
    <row r="27" spans="1:10">
      <c r="A27" s="89" t="s">
        <v>48</v>
      </c>
      <c r="B27" s="405">
        <v>2729</v>
      </c>
      <c r="C27" s="405">
        <v>4988</v>
      </c>
      <c r="D27" s="405">
        <v>-2259</v>
      </c>
      <c r="E27" s="406">
        <v>-45.2886928628709</v>
      </c>
      <c r="F27" s="89"/>
      <c r="G27" s="89"/>
      <c r="H27" s="89"/>
      <c r="I27" s="89">
        <v>0</v>
      </c>
      <c r="J27" s="406"/>
    </row>
    <row r="28" spans="1:10">
      <c r="A28" s="89" t="s">
        <v>50</v>
      </c>
      <c r="B28" s="405">
        <v>411818.62783227</v>
      </c>
      <c r="C28" s="405">
        <v>400210.562468</v>
      </c>
      <c r="D28" s="405">
        <v>11608.0653642699</v>
      </c>
      <c r="E28" s="406">
        <v>2.90048950549577</v>
      </c>
      <c r="F28" s="89" t="s">
        <v>50</v>
      </c>
      <c r="G28" s="89">
        <v>413154</v>
      </c>
      <c r="H28" s="89">
        <v>400211</v>
      </c>
      <c r="I28" s="89">
        <v>12943</v>
      </c>
      <c r="J28" s="406">
        <v>3.23404404176797</v>
      </c>
    </row>
    <row r="29" spans="1:10">
      <c r="A29" s="89" t="s">
        <v>52</v>
      </c>
      <c r="B29" s="405">
        <v>8063</v>
      </c>
      <c r="C29" s="405">
        <v>3177</v>
      </c>
      <c r="D29" s="405">
        <v>4886</v>
      </c>
      <c r="E29" s="406">
        <v>153.79288637079</v>
      </c>
      <c r="F29" s="89" t="s">
        <v>52</v>
      </c>
      <c r="G29" s="89">
        <v>8063</v>
      </c>
      <c r="H29" s="89">
        <v>3177</v>
      </c>
      <c r="I29" s="89">
        <v>4886</v>
      </c>
      <c r="J29" s="406">
        <v>153.79288637079</v>
      </c>
    </row>
    <row r="30" spans="1:10">
      <c r="A30" s="89" t="s">
        <v>54</v>
      </c>
      <c r="B30" s="405"/>
      <c r="C30" s="405"/>
      <c r="D30" s="405">
        <v>0</v>
      </c>
      <c r="E30" s="406">
        <v>0</v>
      </c>
      <c r="F30" s="89" t="s">
        <v>55</v>
      </c>
      <c r="G30" s="89"/>
      <c r="H30" s="89"/>
      <c r="I30" s="89">
        <v>0</v>
      </c>
      <c r="J30" s="406"/>
    </row>
    <row r="31" spans="1:10">
      <c r="A31" s="89" t="s">
        <v>57</v>
      </c>
      <c r="B31" s="405"/>
      <c r="C31" s="405"/>
      <c r="D31" s="405">
        <v>0</v>
      </c>
      <c r="E31" s="406">
        <v>0</v>
      </c>
      <c r="F31" s="89"/>
      <c r="G31" s="89"/>
      <c r="H31" s="89"/>
      <c r="I31" s="89">
        <v>0</v>
      </c>
      <c r="J31" s="406"/>
    </row>
    <row r="32" spans="1:10">
      <c r="A32" s="89" t="s">
        <v>59</v>
      </c>
      <c r="B32" s="405">
        <v>39</v>
      </c>
      <c r="C32" s="405">
        <v>39</v>
      </c>
      <c r="D32" s="405">
        <v>0</v>
      </c>
      <c r="E32" s="406">
        <v>0</v>
      </c>
      <c r="F32" s="89" t="s">
        <v>59</v>
      </c>
      <c r="G32" s="89">
        <v>39</v>
      </c>
      <c r="H32" s="89">
        <v>39</v>
      </c>
      <c r="I32" s="89">
        <v>0</v>
      </c>
      <c r="J32" s="406">
        <v>0</v>
      </c>
    </row>
    <row r="33" spans="1:10">
      <c r="A33" s="89" t="s">
        <v>61</v>
      </c>
      <c r="B33" s="405">
        <v>8024</v>
      </c>
      <c r="C33" s="405">
        <v>3138</v>
      </c>
      <c r="D33" s="405">
        <v>4886</v>
      </c>
      <c r="E33" s="406">
        <v>155.704270235819</v>
      </c>
      <c r="F33" s="89" t="s">
        <v>61</v>
      </c>
      <c r="G33" s="89">
        <v>8024</v>
      </c>
      <c r="H33" s="89">
        <v>3138</v>
      </c>
      <c r="I33" s="89">
        <v>4886</v>
      </c>
      <c r="J33" s="406">
        <v>155.704270235819</v>
      </c>
    </row>
    <row r="34" spans="1:10">
      <c r="A34" s="89" t="s">
        <v>64</v>
      </c>
      <c r="B34" s="405">
        <v>0</v>
      </c>
      <c r="C34" s="405"/>
      <c r="D34" s="405">
        <v>0</v>
      </c>
      <c r="E34" s="406"/>
      <c r="F34" s="89" t="s">
        <v>64</v>
      </c>
      <c r="G34" s="89">
        <v>0</v>
      </c>
      <c r="H34" s="89">
        <v>0</v>
      </c>
      <c r="I34" s="89">
        <v>0</v>
      </c>
      <c r="J34" s="406"/>
    </row>
    <row r="35" spans="1:10">
      <c r="A35" s="89" t="s">
        <v>66</v>
      </c>
      <c r="B35" s="405"/>
      <c r="C35" s="405"/>
      <c r="D35" s="405">
        <v>0</v>
      </c>
      <c r="E35" s="406"/>
      <c r="F35" s="89" t="s">
        <v>66</v>
      </c>
      <c r="G35" s="89"/>
      <c r="H35" s="89"/>
      <c r="I35" s="89">
        <v>0</v>
      </c>
      <c r="J35" s="406"/>
    </row>
    <row r="36" spans="1:10">
      <c r="A36" s="89" t="s">
        <v>68</v>
      </c>
      <c r="B36" s="405"/>
      <c r="C36" s="405"/>
      <c r="D36" s="405">
        <v>0</v>
      </c>
      <c r="E36" s="406"/>
      <c r="F36" s="89" t="s">
        <v>68</v>
      </c>
      <c r="G36" s="89"/>
      <c r="H36" s="89"/>
      <c r="I36" s="89">
        <v>0</v>
      </c>
      <c r="J36" s="406"/>
    </row>
    <row r="37" spans="1:10">
      <c r="A37" s="89" t="s">
        <v>70</v>
      </c>
      <c r="B37" s="405">
        <v>1444.37216773006</v>
      </c>
      <c r="C37" s="405">
        <v>6</v>
      </c>
      <c r="D37" s="405">
        <v>1438.37216773006</v>
      </c>
      <c r="E37" s="406">
        <v>23972.8694621677</v>
      </c>
      <c r="F37" s="89" t="s">
        <v>70</v>
      </c>
      <c r="G37" s="89">
        <v>109</v>
      </c>
      <c r="H37" s="89">
        <v>6</v>
      </c>
      <c r="I37" s="89">
        <v>103</v>
      </c>
      <c r="J37" s="406">
        <v>1716.66666666667</v>
      </c>
    </row>
    <row r="38" spans="1:10">
      <c r="A38" s="89" t="s">
        <v>73</v>
      </c>
      <c r="B38" s="405"/>
      <c r="C38" s="405"/>
      <c r="D38" s="405">
        <v>0</v>
      </c>
      <c r="E38" s="406"/>
      <c r="F38" s="89" t="s">
        <v>73</v>
      </c>
      <c r="G38" s="89"/>
      <c r="H38" s="89"/>
      <c r="I38" s="89"/>
      <c r="J38" s="406"/>
    </row>
    <row r="39" spans="1:10">
      <c r="A39" s="89" t="s">
        <v>75</v>
      </c>
      <c r="B39" s="405"/>
      <c r="C39" s="405"/>
      <c r="D39" s="405">
        <v>0</v>
      </c>
      <c r="E39" s="406"/>
      <c r="F39" s="89" t="s">
        <v>75</v>
      </c>
      <c r="G39" s="89"/>
      <c r="H39" s="89"/>
      <c r="I39" s="89"/>
      <c r="J39" s="406"/>
    </row>
    <row r="40" spans="1:10">
      <c r="A40" s="89"/>
      <c r="B40" s="405"/>
      <c r="C40" s="405"/>
      <c r="D40" s="405"/>
      <c r="E40" s="406"/>
      <c r="F40" s="89"/>
      <c r="G40" s="89"/>
      <c r="H40" s="89"/>
      <c r="I40" s="89"/>
      <c r="J40" s="406"/>
    </row>
    <row r="41" spans="1:10">
      <c r="A41" s="89"/>
      <c r="B41" s="405"/>
      <c r="C41" s="405"/>
      <c r="D41" s="405"/>
      <c r="E41" s="406"/>
      <c r="F41" s="89"/>
      <c r="G41" s="89"/>
      <c r="H41" s="89"/>
      <c r="I41" s="89"/>
      <c r="J41" s="406"/>
    </row>
    <row r="42" spans="1:10">
      <c r="A42" s="89"/>
      <c r="B42" s="405"/>
      <c r="C42" s="405"/>
      <c r="D42" s="405"/>
      <c r="E42" s="406"/>
      <c r="F42" s="89"/>
      <c r="G42" s="89"/>
      <c r="H42" s="89"/>
      <c r="I42" s="89"/>
      <c r="J42" s="406"/>
    </row>
    <row r="43" spans="1:10">
      <c r="A43" s="89"/>
      <c r="B43" s="405"/>
      <c r="C43" s="405"/>
      <c r="D43" s="405"/>
      <c r="E43" s="406"/>
      <c r="F43" s="89"/>
      <c r="G43" s="89"/>
      <c r="H43" s="89"/>
      <c r="I43" s="89"/>
      <c r="J43" s="406"/>
    </row>
    <row r="44" spans="1:10">
      <c r="A44" s="89"/>
      <c r="B44" s="405"/>
      <c r="C44" s="405"/>
      <c r="D44" s="405"/>
      <c r="E44" s="406"/>
      <c r="F44" s="89"/>
      <c r="G44" s="89"/>
      <c r="H44" s="89"/>
      <c r="I44" s="89"/>
      <c r="J44" s="406"/>
    </row>
    <row r="45" spans="1:10">
      <c r="A45" s="89"/>
      <c r="B45" s="405"/>
      <c r="C45" s="405"/>
      <c r="D45" s="405"/>
      <c r="E45" s="406"/>
      <c r="F45" s="89"/>
      <c r="G45" s="89"/>
      <c r="H45" s="89"/>
      <c r="I45" s="89"/>
      <c r="J45" s="406"/>
    </row>
    <row r="46" spans="1:10">
      <c r="A46" s="89"/>
      <c r="B46" s="405"/>
      <c r="C46" s="405"/>
      <c r="D46" s="405"/>
      <c r="E46" s="406"/>
      <c r="F46" s="89"/>
      <c r="G46" s="89"/>
      <c r="H46" s="89"/>
      <c r="I46" s="89"/>
      <c r="J46" s="406"/>
    </row>
    <row r="47" spans="1:10">
      <c r="A47" s="89"/>
      <c r="B47" s="405"/>
      <c r="C47" s="405"/>
      <c r="D47" s="405"/>
      <c r="E47" s="406"/>
      <c r="F47" s="89"/>
      <c r="G47" s="89"/>
      <c r="H47" s="89"/>
      <c r="I47" s="89"/>
      <c r="J47" s="406"/>
    </row>
    <row r="48" spans="1:10">
      <c r="A48" s="89"/>
      <c r="B48" s="405"/>
      <c r="C48" s="405"/>
      <c r="D48" s="405"/>
      <c r="E48" s="406"/>
      <c r="F48" s="89"/>
      <c r="G48" s="89"/>
      <c r="H48" s="89"/>
      <c r="I48" s="89"/>
      <c r="J48" s="406"/>
    </row>
    <row r="49" spans="1:10">
      <c r="A49" s="89"/>
      <c r="B49" s="405"/>
      <c r="C49" s="405"/>
      <c r="D49" s="405"/>
      <c r="E49" s="406"/>
      <c r="F49" s="89"/>
      <c r="G49" s="89"/>
      <c r="H49" s="89"/>
      <c r="I49" s="89"/>
      <c r="J49" s="406"/>
    </row>
    <row r="50" spans="1:10">
      <c r="A50" s="89"/>
      <c r="B50" s="405"/>
      <c r="C50" s="405"/>
      <c r="D50" s="405"/>
      <c r="E50" s="406"/>
      <c r="F50" s="89"/>
      <c r="G50" s="89"/>
      <c r="H50" s="89"/>
      <c r="I50" s="89"/>
      <c r="J50" s="406"/>
    </row>
    <row r="51" spans="1:10">
      <c r="A51" s="89"/>
      <c r="B51" s="405"/>
      <c r="C51" s="405"/>
      <c r="D51" s="405"/>
      <c r="E51" s="406"/>
      <c r="F51" s="89"/>
      <c r="G51" s="89"/>
      <c r="H51" s="89"/>
      <c r="I51" s="89"/>
      <c r="J51" s="406"/>
    </row>
    <row r="52" spans="1:10">
      <c r="A52" s="89"/>
      <c r="B52" s="405"/>
      <c r="C52" s="405"/>
      <c r="D52" s="405"/>
      <c r="E52" s="406"/>
      <c r="F52" s="89"/>
      <c r="G52" s="89"/>
      <c r="H52" s="89"/>
      <c r="I52" s="89"/>
      <c r="J52" s="406"/>
    </row>
    <row r="53" spans="1:10">
      <c r="A53" s="89"/>
      <c r="B53" s="405"/>
      <c r="C53" s="405"/>
      <c r="D53" s="405"/>
      <c r="E53" s="406"/>
      <c r="F53" s="89"/>
      <c r="G53" s="89"/>
      <c r="H53" s="89"/>
      <c r="I53" s="89"/>
      <c r="J53" s="406"/>
    </row>
    <row r="54" spans="1:10">
      <c r="A54" s="89"/>
      <c r="B54" s="405"/>
      <c r="C54" s="405"/>
      <c r="D54" s="405"/>
      <c r="E54" s="406"/>
      <c r="F54" s="89"/>
      <c r="G54" s="89"/>
      <c r="H54" s="89"/>
      <c r="I54" s="89"/>
      <c r="J54" s="406"/>
    </row>
    <row r="55" spans="1:10">
      <c r="A55" s="89"/>
      <c r="B55" s="405"/>
      <c r="C55" s="405"/>
      <c r="D55" s="405"/>
      <c r="E55" s="406"/>
      <c r="F55" s="89"/>
      <c r="G55" s="89"/>
      <c r="H55" s="89"/>
      <c r="I55" s="89"/>
      <c r="J55" s="406"/>
    </row>
    <row r="56" spans="1:10">
      <c r="A56" s="89"/>
      <c r="B56" s="405"/>
      <c r="C56" s="405"/>
      <c r="D56" s="405"/>
      <c r="E56" s="406"/>
      <c r="F56" s="89"/>
      <c r="G56" s="89"/>
      <c r="H56" s="89"/>
      <c r="I56" s="89"/>
      <c r="J56" s="406"/>
    </row>
    <row r="57" spans="1:10">
      <c r="A57" s="89"/>
      <c r="B57" s="405"/>
      <c r="C57" s="405"/>
      <c r="D57" s="405"/>
      <c r="E57" s="406"/>
      <c r="F57" s="89"/>
      <c r="G57" s="89"/>
      <c r="H57" s="89"/>
      <c r="I57" s="89"/>
      <c r="J57" s="406"/>
    </row>
    <row r="58" spans="1:10">
      <c r="A58" s="89"/>
      <c r="B58" s="405"/>
      <c r="C58" s="405"/>
      <c r="D58" s="405"/>
      <c r="E58" s="406"/>
      <c r="F58" s="89"/>
      <c r="G58" s="89"/>
      <c r="H58" s="89"/>
      <c r="I58" s="89"/>
      <c r="J58" s="406"/>
    </row>
    <row r="59" spans="1:10">
      <c r="A59" s="89"/>
      <c r="B59" s="405"/>
      <c r="C59" s="405"/>
      <c r="D59" s="405"/>
      <c r="E59" s="406"/>
      <c r="F59" s="89"/>
      <c r="G59" s="89"/>
      <c r="H59" s="89"/>
      <c r="I59" s="89"/>
      <c r="J59" s="406"/>
    </row>
    <row r="60" spans="1:10">
      <c r="A60" s="89"/>
      <c r="B60" s="405"/>
      <c r="C60" s="405"/>
      <c r="D60" s="405"/>
      <c r="E60" s="406"/>
      <c r="F60" s="89"/>
      <c r="G60" s="89"/>
      <c r="H60" s="89"/>
      <c r="I60" s="89"/>
      <c r="J60" s="406"/>
    </row>
    <row r="61" spans="1:10">
      <c r="A61" s="89"/>
      <c r="B61" s="405"/>
      <c r="C61" s="405"/>
      <c r="D61" s="405"/>
      <c r="E61" s="406"/>
      <c r="F61" s="89"/>
      <c r="G61" s="89"/>
      <c r="H61" s="89"/>
      <c r="I61" s="89"/>
      <c r="J61" s="406"/>
    </row>
    <row r="62" spans="1:10">
      <c r="A62" s="89"/>
      <c r="B62" s="405"/>
      <c r="C62" s="405"/>
      <c r="D62" s="405"/>
      <c r="E62" s="406"/>
      <c r="F62" s="89"/>
      <c r="G62" s="89"/>
      <c r="H62" s="89"/>
      <c r="I62" s="89"/>
      <c r="J62" s="406"/>
    </row>
    <row r="63" spans="1:10">
      <c r="A63" s="89"/>
      <c r="B63" s="405"/>
      <c r="C63" s="405"/>
      <c r="D63" s="405"/>
      <c r="E63" s="406"/>
      <c r="F63" s="89"/>
      <c r="G63" s="89"/>
      <c r="H63" s="89"/>
      <c r="I63" s="89"/>
      <c r="J63" s="406"/>
    </row>
    <row r="64" spans="1:10">
      <c r="A64" s="89"/>
      <c r="B64" s="405"/>
      <c r="C64" s="405"/>
      <c r="D64" s="405"/>
      <c r="E64" s="406"/>
      <c r="F64" s="89"/>
      <c r="G64" s="89"/>
      <c r="H64" s="89"/>
      <c r="I64" s="89"/>
      <c r="J64" s="406"/>
    </row>
    <row r="65" spans="1:10">
      <c r="A65" s="89"/>
      <c r="B65" s="405"/>
      <c r="C65" s="405"/>
      <c r="D65" s="405"/>
      <c r="E65" s="406"/>
      <c r="F65" s="89"/>
      <c r="G65" s="89"/>
      <c r="H65" s="89"/>
      <c r="I65" s="89"/>
      <c r="J65" s="406"/>
    </row>
    <row r="66" spans="1:10">
      <c r="A66" s="89" t="s">
        <v>103</v>
      </c>
      <c r="B66" s="405">
        <v>421326</v>
      </c>
      <c r="C66" s="405">
        <v>403393.562468</v>
      </c>
      <c r="D66" s="405">
        <v>17932.437532</v>
      </c>
      <c r="E66" s="406">
        <v>4.44539506835153</v>
      </c>
      <c r="F66" s="89" t="s">
        <v>103</v>
      </c>
      <c r="G66" s="89">
        <v>421326</v>
      </c>
      <c r="H66" s="89">
        <v>403394</v>
      </c>
      <c r="I66" s="89">
        <v>17932</v>
      </c>
      <c r="J66" s="406">
        <v>4.44528178406223</v>
      </c>
    </row>
  </sheetData>
  <mergeCells count="2">
    <mergeCell ref="A1:J1"/>
    <mergeCell ref="A3:J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7"/>
  <sheetViews>
    <sheetView topLeftCell="B1" workbookViewId="0">
      <pane xSplit="2" ySplit="6" topLeftCell="D78" activePane="bottomRight" state="frozen"/>
      <selection/>
      <selection pane="topRight"/>
      <selection pane="bottomLeft"/>
      <selection pane="bottomRight" activeCell="I120" sqref="I120"/>
    </sheetView>
  </sheetViews>
  <sheetFormatPr defaultColWidth="9" defaultRowHeight="15.75"/>
  <cols>
    <col min="1" max="1" width="8.75" style="227" customWidth="1"/>
    <col min="2" max="2" width="8.75" customWidth="1"/>
    <col min="3" max="3" width="36.625" style="154" customWidth="1"/>
    <col min="4" max="4" width="6.75" style="301" customWidth="1"/>
    <col min="5" max="5" width="5.75" style="301" customWidth="1"/>
    <col min="6" max="6" width="12.375" style="302" customWidth="1"/>
    <col min="7" max="7" width="10.875" style="155" customWidth="1"/>
    <col min="8" max="8" width="10" style="155" customWidth="1"/>
    <col min="9" max="10" width="8.875" style="155" customWidth="1"/>
    <col min="11" max="11" width="10" style="155" customWidth="1"/>
    <col min="12" max="12" width="7.375" style="155" customWidth="1"/>
    <col min="13" max="13" width="8.375" style="155" customWidth="1"/>
    <col min="14" max="14" width="10.125" style="155" customWidth="1"/>
    <col min="15" max="15" width="10.5" style="155" customWidth="1"/>
    <col min="16" max="16" width="9.875" style="155" customWidth="1"/>
    <col min="17" max="17" width="10.25" style="155" customWidth="1"/>
    <col min="18" max="18" width="10" style="155" customWidth="1"/>
    <col min="19" max="19" width="6.125" style="155" customWidth="1"/>
    <col min="20" max="20" width="8.75" style="155" customWidth="1"/>
    <col min="21" max="21" width="11.875" style="303" customWidth="1"/>
    <col min="22" max="22" width="6" customWidth="1"/>
  </cols>
  <sheetData>
    <row r="1" ht="25.5" spans="1:23">
      <c r="C1" s="158" t="s">
        <v>143</v>
      </c>
      <c r="D1" s="304"/>
      <c r="E1" s="304"/>
      <c r="F1" s="305"/>
      <c r="G1" s="306"/>
      <c r="H1" s="306"/>
      <c r="I1" s="306"/>
      <c r="J1" s="306"/>
      <c r="K1" s="306"/>
      <c r="L1" s="306"/>
      <c r="M1" s="306"/>
      <c r="N1" s="306"/>
      <c r="O1" s="306"/>
      <c r="P1" s="306"/>
      <c r="Q1" s="306"/>
      <c r="R1" s="306"/>
      <c r="S1" s="306"/>
      <c r="T1" s="306"/>
      <c r="U1" s="307"/>
      <c r="V1" s="231"/>
    </row>
    <row r="2" ht="18" customHeight="1" spans="1:23">
      <c r="C2" s="232"/>
      <c r="D2" s="308"/>
      <c r="E2" s="308"/>
      <c r="T2" s="234" t="s">
        <v>144</v>
      </c>
      <c r="U2" s="309"/>
    </row>
    <row r="3" ht="22.15" customHeight="1" spans="1:23">
      <c r="B3" s="227"/>
      <c r="C3" s="235" t="s">
        <v>145</v>
      </c>
      <c r="D3" s="310" t="s">
        <v>146</v>
      </c>
      <c r="E3" s="310"/>
      <c r="F3" s="311" t="s">
        <v>147</v>
      </c>
      <c r="G3" s="312"/>
      <c r="H3" s="312"/>
      <c r="I3" s="312"/>
      <c r="J3" s="312"/>
      <c r="K3" s="312"/>
      <c r="L3" s="312"/>
      <c r="M3" s="312"/>
      <c r="N3" s="313" t="s">
        <v>148</v>
      </c>
      <c r="O3" s="314"/>
      <c r="P3" s="314"/>
      <c r="Q3" s="314"/>
      <c r="R3" s="314"/>
      <c r="S3" s="314"/>
      <c r="T3" s="315"/>
      <c r="U3" s="316" t="s">
        <v>149</v>
      </c>
      <c r="V3" s="243"/>
    </row>
    <row r="4" ht="22.15" customHeight="1" spans="1:23">
      <c r="B4" s="227"/>
      <c r="C4" s="235"/>
      <c r="D4" s="310"/>
      <c r="E4" s="310"/>
      <c r="F4" s="317" t="s">
        <v>150</v>
      </c>
      <c r="G4" s="242" t="s">
        <v>151</v>
      </c>
      <c r="H4" s="318" t="s">
        <v>152</v>
      </c>
      <c r="I4" s="242" t="s">
        <v>153</v>
      </c>
      <c r="J4" s="319" t="s">
        <v>154</v>
      </c>
      <c r="K4" s="242" t="s">
        <v>155</v>
      </c>
      <c r="L4" s="242" t="s">
        <v>156</v>
      </c>
      <c r="M4" s="242" t="s">
        <v>157</v>
      </c>
      <c r="N4" s="320" t="s">
        <v>158</v>
      </c>
      <c r="O4" s="242" t="s">
        <v>159</v>
      </c>
      <c r="P4" s="319" t="s">
        <v>160</v>
      </c>
      <c r="Q4" s="319" t="s">
        <v>161</v>
      </c>
      <c r="R4" s="242" t="s">
        <v>162</v>
      </c>
      <c r="S4" s="321" t="s">
        <v>163</v>
      </c>
      <c r="T4" s="322"/>
      <c r="U4" s="316"/>
      <c r="V4" s="243"/>
    </row>
    <row r="5" ht="37.5" customHeight="1" spans="1:23">
      <c r="B5" s="227"/>
      <c r="C5" s="235"/>
      <c r="D5" s="323" t="s">
        <v>164</v>
      </c>
      <c r="E5" s="324" t="s">
        <v>165</v>
      </c>
      <c r="F5" s="325"/>
      <c r="G5" s="253"/>
      <c r="H5" s="326"/>
      <c r="I5" s="253"/>
      <c r="J5" s="253"/>
      <c r="K5" s="253"/>
      <c r="L5" s="253"/>
      <c r="M5" s="253"/>
      <c r="N5" s="327"/>
      <c r="O5" s="253"/>
      <c r="P5" s="253"/>
      <c r="Q5" s="253"/>
      <c r="R5" s="253"/>
      <c r="S5" s="327" t="s">
        <v>166</v>
      </c>
      <c r="T5" s="327" t="s">
        <v>167</v>
      </c>
      <c r="U5" s="328"/>
      <c r="V5" s="255"/>
    </row>
    <row r="6" ht="25.9" customHeight="1" spans="1:23">
      <c r="B6" s="227"/>
      <c r="C6" s="235" t="s">
        <v>168</v>
      </c>
      <c r="D6" s="329">
        <f>D7+D64+D72+D86+D89+D100+D110+D117+D119+D129+D149+D155+D157+D160+D166</f>
        <v>10387</v>
      </c>
      <c r="E6" s="329">
        <f t="shared" ref="E6:M6" si="0">E7+E64+E72+E86+E89+E100+E110+E117+E119+E129+E149+E155+E157+E160+E166</f>
        <v>6078</v>
      </c>
      <c r="F6" s="330">
        <f t="shared" si="0"/>
        <v>101237.42631</v>
      </c>
      <c r="G6" s="331">
        <f t="shared" si="0"/>
        <v>45687.6329</v>
      </c>
      <c r="H6" s="258">
        <f t="shared" si="0"/>
        <v>19008.1348</v>
      </c>
      <c r="I6" s="258">
        <f t="shared" si="0"/>
        <v>6036.67621</v>
      </c>
      <c r="J6" s="258">
        <f t="shared" si="0"/>
        <v>794.5802</v>
      </c>
      <c r="K6" s="258">
        <f t="shared" si="0"/>
        <v>3166.4022</v>
      </c>
      <c r="L6" s="258">
        <f t="shared" si="0"/>
        <v>26544</v>
      </c>
      <c r="M6" s="258">
        <f t="shared" si="0"/>
        <v>310.6024</v>
      </c>
      <c r="N6" s="264">
        <f t="shared" ref="N6:U6" si="1">N7+N64+N72+N86+N89+N100+N110+N117+N119+N129+N149+N155+N157+N160+N166</f>
        <v>32574.80092227</v>
      </c>
      <c r="O6" s="264">
        <f t="shared" si="1"/>
        <v>11404.1659856</v>
      </c>
      <c r="P6" s="264">
        <f t="shared" si="1"/>
        <v>5702.0829928</v>
      </c>
      <c r="Q6" s="264">
        <f t="shared" si="1"/>
        <v>8553.1244892</v>
      </c>
      <c r="R6" s="264">
        <f t="shared" si="1"/>
        <v>6201.01525467</v>
      </c>
      <c r="S6" s="257">
        <f t="shared" si="1"/>
        <v>976</v>
      </c>
      <c r="T6" s="330">
        <f t="shared" si="1"/>
        <v>714.4122</v>
      </c>
      <c r="U6" s="332">
        <f t="shared" si="1"/>
        <v>133812.22723227</v>
      </c>
      <c r="V6" s="263"/>
      <c r="W6">
        <f>D6*2+E6*1.1</f>
        <v>27459.8</v>
      </c>
    </row>
    <row r="7" ht="18" customHeight="1" spans="1:23">
      <c r="B7" s="227" t="s">
        <v>169</v>
      </c>
      <c r="C7" s="169" t="s">
        <v>13</v>
      </c>
      <c r="D7" s="329">
        <f>SUM(D8:D10,D30,D32:D33,D35:D36,D38:D40,D43,D45:D45,D59:D60)</f>
        <v>2328</v>
      </c>
      <c r="E7" s="329">
        <f>SUM(E8:E10,E30,E32:E33,E35:E36,E38:E40,E43,E45:E45,E59:E60)</f>
        <v>1025</v>
      </c>
      <c r="F7" s="330">
        <f>SUM(F8:F10,F30,F32:F33,F35:F36,F38:F40,F43,F45:F45,F59:F60)</f>
        <v>21786.21947</v>
      </c>
      <c r="G7" s="330">
        <f t="shared" ref="G7:U7" si="2">SUM(G8:G10,G30,G32:G33,G35:G36,G38:G40,G43,G45:G45,G59:G60)</f>
        <v>9303.4056</v>
      </c>
      <c r="H7" s="330">
        <f t="shared" si="2"/>
        <v>4576.3476</v>
      </c>
      <c r="I7" s="330">
        <f t="shared" si="2"/>
        <v>805.72477</v>
      </c>
      <c r="J7" s="330">
        <f t="shared" si="2"/>
        <v>416.7613</v>
      </c>
      <c r="K7" s="330">
        <f t="shared" si="2"/>
        <v>1002.9802</v>
      </c>
      <c r="L7" s="257">
        <f t="shared" si="2"/>
        <v>5681</v>
      </c>
      <c r="M7" s="330">
        <f t="shared" si="2"/>
        <v>53.6812</v>
      </c>
      <c r="N7" s="330">
        <f t="shared" si="2"/>
        <v>6895.92315369</v>
      </c>
      <c r="O7" s="330">
        <f t="shared" si="2"/>
        <v>2416.3582832</v>
      </c>
      <c r="P7" s="330">
        <f t="shared" si="2"/>
        <v>1208.1791416</v>
      </c>
      <c r="Q7" s="330">
        <f t="shared" si="2"/>
        <v>1812.2687124</v>
      </c>
      <c r="R7" s="330">
        <f t="shared" si="2"/>
        <v>1313.89481649</v>
      </c>
      <c r="S7" s="257">
        <f t="shared" si="2"/>
        <v>204</v>
      </c>
      <c r="T7" s="330">
        <f t="shared" si="2"/>
        <v>145.2222</v>
      </c>
      <c r="U7" s="330">
        <f t="shared" si="2"/>
        <v>28682.14262369</v>
      </c>
      <c r="V7" s="263"/>
    </row>
    <row r="8" s="298" customFormat="1" ht="16.5" customHeight="1" spans="1:23">
      <c r="A8" s="333">
        <v>1</v>
      </c>
      <c r="B8" s="334" t="s">
        <v>170</v>
      </c>
      <c r="C8" s="335" t="s">
        <v>171</v>
      </c>
      <c r="D8" s="336">
        <v>44</v>
      </c>
      <c r="E8" s="337">
        <v>38</v>
      </c>
      <c r="F8" s="338">
        <f t="shared" ref="F8:F13" si="3">SUM(G8:L8)</f>
        <v>478.4304</v>
      </c>
      <c r="G8" s="339">
        <v>225.9576</v>
      </c>
      <c r="H8" s="339">
        <v>106.38</v>
      </c>
      <c r="I8" s="339">
        <v>2.8054</v>
      </c>
      <c r="J8" s="339">
        <v>17.2874</v>
      </c>
      <c r="K8" s="339"/>
      <c r="L8" s="339">
        <f>D8*2+E8*1</f>
        <v>126</v>
      </c>
      <c r="M8" s="339">
        <v>4.2024</v>
      </c>
      <c r="N8" s="340">
        <f t="shared" ref="N8:N13" si="4">O8+P8+T8+R8+Q8</f>
        <v>158.3883888</v>
      </c>
      <c r="O8" s="340">
        <f>(G8+H8+I8+J8)*0.16</f>
        <v>56.388864</v>
      </c>
      <c r="P8" s="340">
        <f t="shared" ref="P8:P13" si="5">(G8+H8+I8+J8)*0.08</f>
        <v>28.194432</v>
      </c>
      <c r="Q8" s="340">
        <f t="shared" ref="Q8:Q13" si="6">(G8+H8+I8+J8)*0.12</f>
        <v>42.291648</v>
      </c>
      <c r="R8" s="340">
        <f t="shared" ref="R8:R13" si="7">(G8+H8+I8+J8)*0.087</f>
        <v>30.6614448</v>
      </c>
      <c r="S8" s="341">
        <v>2</v>
      </c>
      <c r="T8" s="341">
        <v>0.852</v>
      </c>
      <c r="U8" s="338">
        <f t="shared" ref="U8:U13" si="8">F8+N8</f>
        <v>636.8187888</v>
      </c>
      <c r="V8" s="342"/>
    </row>
    <row r="9" s="298" customFormat="1" ht="18" customHeight="1" spans="1:23">
      <c r="A9" s="333">
        <v>2</v>
      </c>
      <c r="B9" s="334" t="s">
        <v>170</v>
      </c>
      <c r="C9" s="335" t="s">
        <v>172</v>
      </c>
      <c r="D9" s="336">
        <v>39</v>
      </c>
      <c r="E9" s="343">
        <v>20</v>
      </c>
      <c r="F9" s="338">
        <f t="shared" si="3"/>
        <v>404.5692</v>
      </c>
      <c r="G9" s="339">
        <v>196.4352</v>
      </c>
      <c r="H9" s="339">
        <v>92.4276</v>
      </c>
      <c r="I9" s="339">
        <v>3.42</v>
      </c>
      <c r="J9" s="339">
        <v>14.2864</v>
      </c>
      <c r="K9" s="339"/>
      <c r="L9" s="339">
        <f>D9*2+E9*1</f>
        <v>98</v>
      </c>
      <c r="M9" s="339"/>
      <c r="N9" s="340">
        <f t="shared" si="4"/>
        <v>137.0364324</v>
      </c>
      <c r="O9" s="340">
        <f t="shared" ref="O8:O13" si="9">(G9+H9+I9+J9)*0.16</f>
        <v>49.051072</v>
      </c>
      <c r="P9" s="340">
        <f t="shared" si="5"/>
        <v>24.525536</v>
      </c>
      <c r="Q9" s="340">
        <f t="shared" si="6"/>
        <v>36.788304</v>
      </c>
      <c r="R9" s="340">
        <f t="shared" si="7"/>
        <v>26.6715204</v>
      </c>
      <c r="S9" s="341"/>
      <c r="T9" s="341"/>
      <c r="U9" s="338">
        <f t="shared" si="8"/>
        <v>541.6056324</v>
      </c>
      <c r="V9" s="342"/>
    </row>
    <row r="10" s="299" customFormat="1" ht="18" customHeight="1" spans="1:23">
      <c r="A10" s="344"/>
      <c r="B10" s="345"/>
      <c r="C10" s="346" t="s">
        <v>173</v>
      </c>
      <c r="D10" s="336">
        <f>SUM(D11:D29)</f>
        <v>1508</v>
      </c>
      <c r="E10" s="336">
        <f>SUM(E11:E29)</f>
        <v>572</v>
      </c>
      <c r="F10" s="338">
        <f t="shared" si="3"/>
        <v>13900.6485</v>
      </c>
      <c r="G10" s="339">
        <f t="shared" ref="G10:M10" si="10">SUM(G11:G29)</f>
        <v>5690.484</v>
      </c>
      <c r="H10" s="339">
        <f t="shared" si="10"/>
        <v>2861.0292</v>
      </c>
      <c r="I10" s="339">
        <f t="shared" si="10"/>
        <v>602.2687</v>
      </c>
      <c r="J10" s="339">
        <f t="shared" si="10"/>
        <v>200.2024</v>
      </c>
      <c r="K10" s="339">
        <f t="shared" si="10"/>
        <v>958.6642</v>
      </c>
      <c r="L10" s="339">
        <f t="shared" si="10"/>
        <v>3588</v>
      </c>
      <c r="M10" s="339">
        <f t="shared" si="10"/>
        <v>16.7068</v>
      </c>
      <c r="N10" s="340">
        <f t="shared" si="4"/>
        <v>4303.5439821</v>
      </c>
      <c r="O10" s="340">
        <f t="shared" si="9"/>
        <v>1496.637488</v>
      </c>
      <c r="P10" s="340">
        <f t="shared" si="5"/>
        <v>748.318744</v>
      </c>
      <c r="Q10" s="340">
        <f t="shared" si="6"/>
        <v>1122.478116</v>
      </c>
      <c r="R10" s="340">
        <f t="shared" si="7"/>
        <v>813.7966341</v>
      </c>
      <c r="S10" s="341">
        <f>SUM(S11:S29)</f>
        <v>169</v>
      </c>
      <c r="T10" s="341">
        <f>SUM(T11:T29)</f>
        <v>122.313</v>
      </c>
      <c r="U10" s="338">
        <f t="shared" si="8"/>
        <v>18204.1924821</v>
      </c>
      <c r="V10" s="347"/>
    </row>
    <row r="11" s="298" customFormat="1" ht="18" customHeight="1" spans="1:23">
      <c r="A11" s="333">
        <v>3</v>
      </c>
      <c r="B11" s="334" t="s">
        <v>170</v>
      </c>
      <c r="C11" s="348" t="s">
        <v>174</v>
      </c>
      <c r="D11" s="336">
        <v>58</v>
      </c>
      <c r="E11" s="336">
        <v>29</v>
      </c>
      <c r="F11" s="338">
        <f t="shared" si="3"/>
        <v>594.572</v>
      </c>
      <c r="G11" s="339">
        <v>286.4112</v>
      </c>
      <c r="H11" s="339">
        <v>133.5672</v>
      </c>
      <c r="I11" s="339">
        <v>7.686</v>
      </c>
      <c r="J11" s="339">
        <v>21.9076</v>
      </c>
      <c r="K11" s="339"/>
      <c r="L11" s="339">
        <f>D11*2+E11*1</f>
        <v>145</v>
      </c>
      <c r="M11" s="339">
        <v>5.5488</v>
      </c>
      <c r="N11" s="340">
        <f t="shared" si="4"/>
        <v>201.642684</v>
      </c>
      <c r="O11" s="340">
        <f t="shared" si="9"/>
        <v>71.93152</v>
      </c>
      <c r="P11" s="340">
        <f t="shared" si="5"/>
        <v>35.96576</v>
      </c>
      <c r="Q11" s="340">
        <f t="shared" si="6"/>
        <v>53.94864</v>
      </c>
      <c r="R11" s="340">
        <f t="shared" si="7"/>
        <v>39.112764</v>
      </c>
      <c r="S11" s="341">
        <v>2</v>
      </c>
      <c r="T11" s="341">
        <v>0.684</v>
      </c>
      <c r="U11" s="338">
        <f t="shared" si="8"/>
        <v>796.214684</v>
      </c>
      <c r="V11" s="342"/>
    </row>
    <row r="12" s="298" customFormat="1" ht="18" customHeight="1" spans="1:23">
      <c r="A12" s="333"/>
      <c r="B12" s="334" t="s">
        <v>175</v>
      </c>
      <c r="C12" s="349" t="s">
        <v>176</v>
      </c>
      <c r="D12" s="336">
        <v>3</v>
      </c>
      <c r="E12" s="336"/>
      <c r="F12" s="338">
        <f t="shared" si="3"/>
        <v>20.2872</v>
      </c>
      <c r="G12" s="339">
        <v>14.2872</v>
      </c>
      <c r="H12" s="339"/>
      <c r="I12" s="339"/>
      <c r="J12" s="339"/>
      <c r="K12" s="339"/>
      <c r="L12" s="339">
        <f>D12*2+E12*1</f>
        <v>6</v>
      </c>
      <c r="M12" s="339"/>
      <c r="N12" s="340">
        <f t="shared" si="4"/>
        <v>6.3863784</v>
      </c>
      <c r="O12" s="340">
        <f t="shared" si="9"/>
        <v>2.285952</v>
      </c>
      <c r="P12" s="340">
        <f t="shared" si="5"/>
        <v>1.142976</v>
      </c>
      <c r="Q12" s="340">
        <f t="shared" si="6"/>
        <v>1.714464</v>
      </c>
      <c r="R12" s="340">
        <f t="shared" si="7"/>
        <v>1.2429864</v>
      </c>
      <c r="S12" s="341"/>
      <c r="T12" s="341"/>
      <c r="U12" s="338">
        <f t="shared" si="8"/>
        <v>26.6735784</v>
      </c>
      <c r="V12" s="342"/>
    </row>
    <row r="13" s="298" customFormat="1" ht="18" customHeight="1" spans="1:23">
      <c r="A13" s="333"/>
      <c r="B13" s="334" t="s">
        <v>177</v>
      </c>
      <c r="C13" s="349" t="s">
        <v>178</v>
      </c>
      <c r="D13" s="350">
        <v>21</v>
      </c>
      <c r="E13" s="350">
        <v>2</v>
      </c>
      <c r="F13" s="338">
        <f t="shared" si="3"/>
        <v>172.9621</v>
      </c>
      <c r="G13" s="339">
        <v>79.2084</v>
      </c>
      <c r="H13" s="339">
        <v>39.828</v>
      </c>
      <c r="I13" s="339">
        <v>7.5291</v>
      </c>
      <c r="J13" s="339">
        <v>2.3966</v>
      </c>
      <c r="K13" s="339"/>
      <c r="L13" s="339">
        <f>D13*2+E13*1</f>
        <v>44</v>
      </c>
      <c r="M13" s="339"/>
      <c r="N13" s="340">
        <f t="shared" si="4"/>
        <v>57.6460587</v>
      </c>
      <c r="O13" s="340">
        <f t="shared" si="9"/>
        <v>20.633936</v>
      </c>
      <c r="P13" s="340">
        <f t="shared" si="5"/>
        <v>10.316968</v>
      </c>
      <c r="Q13" s="340">
        <f t="shared" si="6"/>
        <v>15.475452</v>
      </c>
      <c r="R13" s="340">
        <f t="shared" si="7"/>
        <v>11.2197027</v>
      </c>
      <c r="S13" s="341"/>
      <c r="T13" s="341"/>
      <c r="U13" s="338">
        <f t="shared" si="8"/>
        <v>230.6081587</v>
      </c>
      <c r="V13" s="342"/>
    </row>
    <row r="14" s="298" customFormat="1" ht="18" customHeight="1" spans="1:23">
      <c r="A14" s="333"/>
      <c r="B14" s="334" t="s">
        <v>170</v>
      </c>
      <c r="C14" s="349" t="s">
        <v>179</v>
      </c>
      <c r="D14" s="336">
        <v>51</v>
      </c>
      <c r="E14" s="343">
        <v>15</v>
      </c>
      <c r="F14" s="338">
        <f t="shared" ref="F14:F39" si="11">SUM(G14:L14)</f>
        <v>450.6775</v>
      </c>
      <c r="G14" s="339">
        <v>218.2476</v>
      </c>
      <c r="H14" s="339">
        <v>104.8536</v>
      </c>
      <c r="I14" s="339">
        <v>10.5763</v>
      </c>
      <c r="J14" s="339"/>
      <c r="K14" s="339"/>
      <c r="L14" s="339">
        <f>D14*2+E14*1</f>
        <v>117</v>
      </c>
      <c r="M14" s="339">
        <v>3.678</v>
      </c>
      <c r="N14" s="340">
        <f t="shared" ref="N14:N33" si="12">O14+P14+T14+R14+Q14</f>
        <v>151.6078425</v>
      </c>
      <c r="O14" s="340">
        <f t="shared" ref="O14:O40" si="13">(G14+H14+I14+J14)*0.16</f>
        <v>53.3884</v>
      </c>
      <c r="P14" s="340">
        <f t="shared" ref="P14:P40" si="14">(G14+H14+I14+J14)*0.08</f>
        <v>26.6942</v>
      </c>
      <c r="Q14" s="340">
        <f t="shared" ref="Q14:Q40" si="15">(G14+H14+I14+J14)*0.12</f>
        <v>40.0413</v>
      </c>
      <c r="R14" s="340">
        <f t="shared" ref="R14:R29" si="16">(G14+H14+I14+J14)*0.087</f>
        <v>29.0299425</v>
      </c>
      <c r="S14" s="341">
        <v>4</v>
      </c>
      <c r="T14" s="341">
        <v>2.454</v>
      </c>
      <c r="U14" s="338">
        <f t="shared" ref="U14:U40" si="17">F14+N14</f>
        <v>602.2853425</v>
      </c>
      <c r="V14" s="342" t="s">
        <v>180</v>
      </c>
    </row>
    <row r="15" s="298" customFormat="1" ht="18" customHeight="1" spans="1:23">
      <c r="A15" s="333"/>
      <c r="B15" s="334" t="s">
        <v>170</v>
      </c>
      <c r="C15" s="349" t="s">
        <v>181</v>
      </c>
      <c r="D15" s="336">
        <v>233</v>
      </c>
      <c r="E15" s="336">
        <v>103</v>
      </c>
      <c r="F15" s="338">
        <f t="shared" si="11"/>
        <v>2183.5761</v>
      </c>
      <c r="G15" s="339">
        <v>902.9628</v>
      </c>
      <c r="H15" s="339">
        <v>426.8496</v>
      </c>
      <c r="I15" s="339">
        <v>116.2748</v>
      </c>
      <c r="J15" s="339">
        <v>23.4029</v>
      </c>
      <c r="K15" s="339">
        <v>145.086</v>
      </c>
      <c r="L15" s="339">
        <f t="shared" ref="L15:L29" si="18">D15*2+E15*1</f>
        <v>569</v>
      </c>
      <c r="M15" s="351">
        <v>0.66</v>
      </c>
      <c r="N15" s="340">
        <f t="shared" si="12"/>
        <v>673.3440747</v>
      </c>
      <c r="O15" s="340">
        <f t="shared" si="13"/>
        <v>235.118416</v>
      </c>
      <c r="P15" s="340">
        <f t="shared" si="14"/>
        <v>117.559208</v>
      </c>
      <c r="Q15" s="340">
        <f t="shared" si="15"/>
        <v>176.338812</v>
      </c>
      <c r="R15" s="340">
        <f t="shared" si="16"/>
        <v>127.8456387</v>
      </c>
      <c r="S15" s="341">
        <v>23</v>
      </c>
      <c r="T15" s="341">
        <v>16.482</v>
      </c>
      <c r="U15" s="338">
        <f t="shared" si="17"/>
        <v>2856.9201747</v>
      </c>
      <c r="V15" s="342">
        <v>173</v>
      </c>
      <c r="W15" s="298" t="s">
        <v>182</v>
      </c>
    </row>
    <row r="16" s="298" customFormat="1" ht="18" customHeight="1" spans="1:23">
      <c r="A16" s="333"/>
      <c r="B16" s="334" t="s">
        <v>170</v>
      </c>
      <c r="C16" s="352" t="s">
        <v>183</v>
      </c>
      <c r="D16" s="336">
        <v>90</v>
      </c>
      <c r="E16" s="336">
        <v>45</v>
      </c>
      <c r="F16" s="338">
        <f t="shared" si="11"/>
        <v>861.0769</v>
      </c>
      <c r="G16" s="339">
        <v>349.0584</v>
      </c>
      <c r="H16" s="339">
        <v>170.0532</v>
      </c>
      <c r="I16" s="339">
        <v>38.1291</v>
      </c>
      <c r="J16" s="339">
        <v>12.9382</v>
      </c>
      <c r="K16" s="339">
        <v>65.898</v>
      </c>
      <c r="L16" s="339">
        <f t="shared" si="18"/>
        <v>225</v>
      </c>
      <c r="M16" s="351">
        <v>1.24</v>
      </c>
      <c r="N16" s="340">
        <f t="shared" si="12"/>
        <v>265.0759683</v>
      </c>
      <c r="O16" s="340">
        <f t="shared" si="13"/>
        <v>91.228624</v>
      </c>
      <c r="P16" s="340">
        <f t="shared" si="14"/>
        <v>45.614312</v>
      </c>
      <c r="Q16" s="340">
        <f t="shared" si="15"/>
        <v>68.421468</v>
      </c>
      <c r="R16" s="340">
        <f t="shared" si="16"/>
        <v>49.6055643</v>
      </c>
      <c r="S16" s="341">
        <v>13</v>
      </c>
      <c r="T16" s="341">
        <v>10.206</v>
      </c>
      <c r="U16" s="338">
        <f t="shared" si="17"/>
        <v>1126.1528683</v>
      </c>
      <c r="V16" s="342">
        <v>68</v>
      </c>
      <c r="W16" s="298" t="s">
        <v>184</v>
      </c>
    </row>
    <row r="17" s="298" customFormat="1" ht="18" customHeight="1" spans="1:22">
      <c r="A17" s="333"/>
      <c r="B17" s="334" t="s">
        <v>170</v>
      </c>
      <c r="C17" s="352" t="s">
        <v>185</v>
      </c>
      <c r="D17" s="336">
        <v>105</v>
      </c>
      <c r="E17" s="336">
        <v>49</v>
      </c>
      <c r="F17" s="338">
        <f t="shared" si="11"/>
        <v>974.7688</v>
      </c>
      <c r="G17" s="339">
        <v>393.4164</v>
      </c>
      <c r="H17" s="339">
        <v>197.2428</v>
      </c>
      <c r="I17" s="339">
        <v>42.5005</v>
      </c>
      <c r="J17" s="339">
        <v>13.2091</v>
      </c>
      <c r="K17" s="339">
        <v>69.4</v>
      </c>
      <c r="L17" s="339">
        <f t="shared" si="18"/>
        <v>259</v>
      </c>
      <c r="M17" s="351">
        <v>1.48</v>
      </c>
      <c r="N17" s="340">
        <f t="shared" si="12"/>
        <v>301.3198536</v>
      </c>
      <c r="O17" s="340">
        <f t="shared" si="13"/>
        <v>103.419008</v>
      </c>
      <c r="P17" s="340">
        <f t="shared" si="14"/>
        <v>51.709504</v>
      </c>
      <c r="Q17" s="340">
        <f t="shared" si="15"/>
        <v>77.564256</v>
      </c>
      <c r="R17" s="340">
        <f t="shared" si="16"/>
        <v>56.2340856</v>
      </c>
      <c r="S17" s="341">
        <v>16</v>
      </c>
      <c r="T17" s="341">
        <v>12.393</v>
      </c>
      <c r="U17" s="338">
        <f t="shared" si="17"/>
        <v>1276.0886536</v>
      </c>
      <c r="V17" s="342">
        <v>70</v>
      </c>
    </row>
    <row r="18" s="298" customFormat="1" ht="18" customHeight="1" spans="1:22">
      <c r="A18" s="333"/>
      <c r="B18" s="334" t="s">
        <v>170</v>
      </c>
      <c r="C18" s="348" t="s">
        <v>186</v>
      </c>
      <c r="D18" s="336">
        <v>60</v>
      </c>
      <c r="E18" s="336">
        <v>18</v>
      </c>
      <c r="F18" s="338">
        <f t="shared" si="11"/>
        <v>574.1117</v>
      </c>
      <c r="G18" s="339">
        <v>242.8056</v>
      </c>
      <c r="H18" s="339">
        <v>117.6948</v>
      </c>
      <c r="I18" s="339">
        <v>22.4331</v>
      </c>
      <c r="J18" s="339">
        <v>8.4742</v>
      </c>
      <c r="K18" s="339">
        <v>44.704</v>
      </c>
      <c r="L18" s="339">
        <f t="shared" si="18"/>
        <v>138</v>
      </c>
      <c r="M18" s="351">
        <v>0.12</v>
      </c>
      <c r="N18" s="340">
        <f t="shared" si="12"/>
        <v>176.2912419</v>
      </c>
      <c r="O18" s="340">
        <f t="shared" si="13"/>
        <v>62.625232</v>
      </c>
      <c r="P18" s="340">
        <f t="shared" si="14"/>
        <v>31.312616</v>
      </c>
      <c r="Q18" s="340">
        <f t="shared" si="15"/>
        <v>46.968924</v>
      </c>
      <c r="R18" s="340">
        <f t="shared" si="16"/>
        <v>34.0524699</v>
      </c>
      <c r="S18" s="341">
        <v>3</v>
      </c>
      <c r="T18" s="341">
        <v>1.332</v>
      </c>
      <c r="U18" s="338">
        <f t="shared" si="17"/>
        <v>750.4029419</v>
      </c>
      <c r="V18" s="342">
        <v>43</v>
      </c>
    </row>
    <row r="19" s="298" customFormat="1" ht="18" customHeight="1" spans="1:22">
      <c r="A19" s="333"/>
      <c r="B19" s="334" t="s">
        <v>170</v>
      </c>
      <c r="C19" s="348" t="s">
        <v>187</v>
      </c>
      <c r="D19" s="336">
        <v>69</v>
      </c>
      <c r="E19" s="343">
        <v>18</v>
      </c>
      <c r="F19" s="338">
        <f t="shared" si="11"/>
        <v>630.0815</v>
      </c>
      <c r="G19" s="339">
        <v>249.996</v>
      </c>
      <c r="H19" s="339">
        <v>130.5732</v>
      </c>
      <c r="I19" s="339">
        <v>28.8</v>
      </c>
      <c r="J19" s="339">
        <v>9.4503</v>
      </c>
      <c r="K19" s="339">
        <v>55.262</v>
      </c>
      <c r="L19" s="339">
        <f t="shared" si="18"/>
        <v>156</v>
      </c>
      <c r="M19" s="351">
        <v>0.12</v>
      </c>
      <c r="N19" s="340">
        <f t="shared" si="12"/>
        <v>193.9263165</v>
      </c>
      <c r="O19" s="340">
        <f t="shared" si="13"/>
        <v>67.01112</v>
      </c>
      <c r="P19" s="340">
        <f t="shared" si="14"/>
        <v>33.50556</v>
      </c>
      <c r="Q19" s="340">
        <f t="shared" si="15"/>
        <v>50.25834</v>
      </c>
      <c r="R19" s="340">
        <f t="shared" si="16"/>
        <v>36.4372965</v>
      </c>
      <c r="S19" s="341">
        <v>10</v>
      </c>
      <c r="T19" s="341">
        <v>6.714</v>
      </c>
      <c r="U19" s="338">
        <f t="shared" si="17"/>
        <v>824.0078165</v>
      </c>
      <c r="V19" s="342">
        <v>53</v>
      </c>
    </row>
    <row r="20" s="298" customFormat="1" ht="18" customHeight="1" spans="1:22">
      <c r="A20" s="333"/>
      <c r="B20" s="334" t="s">
        <v>170</v>
      </c>
      <c r="C20" s="349" t="s">
        <v>188</v>
      </c>
      <c r="D20" s="336">
        <v>82</v>
      </c>
      <c r="E20" s="336">
        <v>32</v>
      </c>
      <c r="F20" s="338">
        <f t="shared" si="11"/>
        <v>751.1409</v>
      </c>
      <c r="G20" s="339">
        <v>294.51</v>
      </c>
      <c r="H20" s="339">
        <v>152.9892</v>
      </c>
      <c r="I20" s="339">
        <v>35.0208</v>
      </c>
      <c r="J20" s="339">
        <v>10.9049</v>
      </c>
      <c r="K20" s="339">
        <v>61.716</v>
      </c>
      <c r="L20" s="339">
        <f t="shared" si="18"/>
        <v>196</v>
      </c>
      <c r="M20" s="351">
        <v>0.36</v>
      </c>
      <c r="N20" s="340">
        <f t="shared" si="12"/>
        <v>227.5269303</v>
      </c>
      <c r="O20" s="340">
        <f t="shared" si="13"/>
        <v>78.947984</v>
      </c>
      <c r="P20" s="340">
        <f t="shared" si="14"/>
        <v>39.473992</v>
      </c>
      <c r="Q20" s="340">
        <f t="shared" si="15"/>
        <v>59.210988</v>
      </c>
      <c r="R20" s="340">
        <f t="shared" si="16"/>
        <v>42.9279663</v>
      </c>
      <c r="S20" s="341">
        <v>9</v>
      </c>
      <c r="T20" s="341">
        <v>6.966</v>
      </c>
      <c r="U20" s="338">
        <f t="shared" si="17"/>
        <v>978.6678303</v>
      </c>
      <c r="V20" s="342">
        <v>60</v>
      </c>
    </row>
    <row r="21" s="298" customFormat="1" ht="18" customHeight="1" spans="1:22">
      <c r="A21" s="333"/>
      <c r="B21" s="334" t="s">
        <v>170</v>
      </c>
      <c r="C21" s="349" t="s">
        <v>189</v>
      </c>
      <c r="D21" s="336">
        <v>106</v>
      </c>
      <c r="E21" s="336">
        <v>50</v>
      </c>
      <c r="F21" s="338">
        <f t="shared" si="11"/>
        <v>973.0234</v>
      </c>
      <c r="G21" s="339">
        <v>386.0508</v>
      </c>
      <c r="H21" s="339">
        <v>200.5188</v>
      </c>
      <c r="I21" s="339">
        <v>40.9808</v>
      </c>
      <c r="J21" s="339">
        <v>14.297</v>
      </c>
      <c r="K21" s="339">
        <v>69.176</v>
      </c>
      <c r="L21" s="339">
        <f t="shared" si="18"/>
        <v>262</v>
      </c>
      <c r="M21" s="351">
        <v>0.12</v>
      </c>
      <c r="N21" s="340">
        <f t="shared" si="12"/>
        <v>301.8637878</v>
      </c>
      <c r="O21" s="340">
        <f t="shared" si="13"/>
        <v>102.695584</v>
      </c>
      <c r="P21" s="340">
        <f t="shared" si="14"/>
        <v>51.347792</v>
      </c>
      <c r="Q21" s="340">
        <f t="shared" si="15"/>
        <v>77.021688</v>
      </c>
      <c r="R21" s="340">
        <f t="shared" si="16"/>
        <v>55.8407238</v>
      </c>
      <c r="S21" s="341">
        <v>20</v>
      </c>
      <c r="T21" s="341">
        <v>14.958</v>
      </c>
      <c r="U21" s="338">
        <f t="shared" si="17"/>
        <v>1274.8871878</v>
      </c>
      <c r="V21" s="342">
        <v>76</v>
      </c>
    </row>
    <row r="22" s="298" customFormat="1" ht="18" customHeight="1" spans="1:22">
      <c r="A22" s="333"/>
      <c r="B22" s="334" t="s">
        <v>170</v>
      </c>
      <c r="C22" s="349" t="s">
        <v>190</v>
      </c>
      <c r="D22" s="336">
        <v>56</v>
      </c>
      <c r="E22" s="343">
        <v>13</v>
      </c>
      <c r="F22" s="338">
        <f t="shared" si="11"/>
        <v>513.8402</v>
      </c>
      <c r="G22" s="339">
        <v>211.7988</v>
      </c>
      <c r="H22" s="339">
        <v>106.8276</v>
      </c>
      <c r="I22" s="339">
        <v>22.2968</v>
      </c>
      <c r="J22" s="353">
        <v>6.963</v>
      </c>
      <c r="K22" s="339">
        <v>40.954</v>
      </c>
      <c r="L22" s="339">
        <f t="shared" si="18"/>
        <v>125</v>
      </c>
      <c r="M22" s="351">
        <v>0.42</v>
      </c>
      <c r="N22" s="340">
        <f t="shared" si="12"/>
        <v>161.4811314</v>
      </c>
      <c r="O22" s="340">
        <f t="shared" si="13"/>
        <v>55.661792</v>
      </c>
      <c r="P22" s="340">
        <f t="shared" si="14"/>
        <v>27.830896</v>
      </c>
      <c r="Q22" s="340">
        <f t="shared" si="15"/>
        <v>41.746344</v>
      </c>
      <c r="R22" s="340">
        <f t="shared" si="16"/>
        <v>30.2660994</v>
      </c>
      <c r="S22" s="341">
        <v>8</v>
      </c>
      <c r="T22" s="341">
        <v>5.976</v>
      </c>
      <c r="U22" s="338">
        <f t="shared" si="17"/>
        <v>675.3213314</v>
      </c>
      <c r="V22" s="342">
        <v>42</v>
      </c>
    </row>
    <row r="23" s="298" customFormat="1" ht="18" customHeight="1" spans="1:22">
      <c r="A23" s="333"/>
      <c r="B23" s="334" t="s">
        <v>170</v>
      </c>
      <c r="C23" s="349" t="s">
        <v>191</v>
      </c>
      <c r="D23" s="336">
        <v>83</v>
      </c>
      <c r="E23" s="337">
        <v>32</v>
      </c>
      <c r="F23" s="338">
        <f t="shared" si="11"/>
        <v>763.5665</v>
      </c>
      <c r="G23" s="339">
        <v>302.5332</v>
      </c>
      <c r="H23" s="339">
        <v>156.6072</v>
      </c>
      <c r="I23" s="339">
        <v>34.0262</v>
      </c>
      <c r="J23" s="339">
        <v>12.2979</v>
      </c>
      <c r="K23" s="339">
        <v>60.102</v>
      </c>
      <c r="L23" s="339">
        <f t="shared" si="18"/>
        <v>198</v>
      </c>
      <c r="M23" s="351">
        <v>0.3</v>
      </c>
      <c r="N23" s="340">
        <f t="shared" si="12"/>
        <v>231.7386315</v>
      </c>
      <c r="O23" s="340">
        <f t="shared" si="13"/>
        <v>80.87432</v>
      </c>
      <c r="P23" s="340">
        <f t="shared" si="14"/>
        <v>40.43716</v>
      </c>
      <c r="Q23" s="340">
        <f t="shared" si="15"/>
        <v>60.65574</v>
      </c>
      <c r="R23" s="340">
        <f t="shared" si="16"/>
        <v>43.9754115</v>
      </c>
      <c r="S23" s="341">
        <v>7</v>
      </c>
      <c r="T23" s="341">
        <v>5.796</v>
      </c>
      <c r="U23" s="338">
        <f t="shared" si="17"/>
        <v>995.3051315</v>
      </c>
      <c r="V23" s="342">
        <v>63</v>
      </c>
    </row>
    <row r="24" s="298" customFormat="1" ht="18" customHeight="1" spans="1:22">
      <c r="A24" s="333"/>
      <c r="B24" s="334" t="s">
        <v>170</v>
      </c>
      <c r="C24" s="349" t="s">
        <v>192</v>
      </c>
      <c r="D24" s="336">
        <v>96</v>
      </c>
      <c r="E24" s="343">
        <v>29</v>
      </c>
      <c r="F24" s="338">
        <f t="shared" si="11"/>
        <v>865.2854</v>
      </c>
      <c r="G24" s="339">
        <v>345.8904</v>
      </c>
      <c r="H24" s="339">
        <v>181.794</v>
      </c>
      <c r="I24" s="339">
        <v>35.6122</v>
      </c>
      <c r="J24" s="339">
        <v>13.3628</v>
      </c>
      <c r="K24" s="339">
        <v>67.626</v>
      </c>
      <c r="L24" s="339">
        <f t="shared" si="18"/>
        <v>221</v>
      </c>
      <c r="M24" s="351">
        <v>0.18</v>
      </c>
      <c r="N24" s="340">
        <f t="shared" si="12"/>
        <v>265.2187518</v>
      </c>
      <c r="O24" s="340">
        <f t="shared" si="13"/>
        <v>92.265504</v>
      </c>
      <c r="P24" s="340">
        <f t="shared" si="14"/>
        <v>46.132752</v>
      </c>
      <c r="Q24" s="340">
        <f t="shared" si="15"/>
        <v>69.199128</v>
      </c>
      <c r="R24" s="340">
        <f t="shared" si="16"/>
        <v>50.1693678</v>
      </c>
      <c r="S24" s="341">
        <v>9</v>
      </c>
      <c r="T24" s="341">
        <v>7.452</v>
      </c>
      <c r="U24" s="338">
        <f t="shared" si="17"/>
        <v>1130.5041518</v>
      </c>
      <c r="V24" s="342">
        <v>59</v>
      </c>
    </row>
    <row r="25" s="298" customFormat="1" ht="18" customHeight="1" spans="1:22">
      <c r="A25" s="333"/>
      <c r="B25" s="334" t="s">
        <v>170</v>
      </c>
      <c r="C25" s="349" t="s">
        <v>193</v>
      </c>
      <c r="D25" s="336">
        <v>138</v>
      </c>
      <c r="E25" s="343">
        <v>52</v>
      </c>
      <c r="F25" s="338">
        <f t="shared" si="11"/>
        <v>1265.7293</v>
      </c>
      <c r="G25" s="339">
        <v>510.0924</v>
      </c>
      <c r="H25" s="339">
        <v>255.648</v>
      </c>
      <c r="I25" s="339">
        <v>62.4934</v>
      </c>
      <c r="J25" s="339">
        <v>15.3195</v>
      </c>
      <c r="K25" s="339">
        <v>94.176</v>
      </c>
      <c r="L25" s="339">
        <f t="shared" si="18"/>
        <v>328</v>
      </c>
      <c r="M25" s="354">
        <v>0.66</v>
      </c>
      <c r="N25" s="340">
        <f t="shared" si="12"/>
        <v>385.4023251</v>
      </c>
      <c r="O25" s="340">
        <f t="shared" si="13"/>
        <v>134.968528</v>
      </c>
      <c r="P25" s="340">
        <f t="shared" si="14"/>
        <v>67.484264</v>
      </c>
      <c r="Q25" s="340">
        <f t="shared" si="15"/>
        <v>101.226396</v>
      </c>
      <c r="R25" s="340">
        <f t="shared" si="16"/>
        <v>73.3891371</v>
      </c>
      <c r="S25" s="341">
        <v>13</v>
      </c>
      <c r="T25" s="341">
        <v>8.334</v>
      </c>
      <c r="U25" s="338">
        <f t="shared" si="17"/>
        <v>1651.1316251</v>
      </c>
      <c r="V25" s="342">
        <v>92</v>
      </c>
    </row>
    <row r="26" s="298" customFormat="1" ht="18" customHeight="1" spans="1:22">
      <c r="A26" s="333"/>
      <c r="B26" s="334" t="s">
        <v>170</v>
      </c>
      <c r="C26" s="349" t="s">
        <v>194</v>
      </c>
      <c r="D26" s="336">
        <v>70</v>
      </c>
      <c r="E26" s="343">
        <v>14</v>
      </c>
      <c r="F26" s="338">
        <f t="shared" si="11"/>
        <v>630.745</v>
      </c>
      <c r="G26" s="339">
        <v>252.528</v>
      </c>
      <c r="H26" s="339">
        <v>133.3524</v>
      </c>
      <c r="I26" s="339">
        <v>25.1871</v>
      </c>
      <c r="J26" s="339">
        <v>10.4475</v>
      </c>
      <c r="K26" s="339">
        <v>55.23</v>
      </c>
      <c r="L26" s="339">
        <f t="shared" si="18"/>
        <v>154</v>
      </c>
      <c r="M26" s="354">
        <v>0.6</v>
      </c>
      <c r="N26" s="340">
        <f t="shared" si="12"/>
        <v>195.041205</v>
      </c>
      <c r="O26" s="340">
        <f t="shared" si="13"/>
        <v>67.4424</v>
      </c>
      <c r="P26" s="340">
        <f t="shared" si="14"/>
        <v>33.7212</v>
      </c>
      <c r="Q26" s="340">
        <f t="shared" si="15"/>
        <v>50.5818</v>
      </c>
      <c r="R26" s="340">
        <f t="shared" si="16"/>
        <v>36.671805</v>
      </c>
      <c r="S26" s="341">
        <v>8</v>
      </c>
      <c r="T26" s="341">
        <v>6.624</v>
      </c>
      <c r="U26" s="338">
        <f t="shared" si="17"/>
        <v>825.786205</v>
      </c>
      <c r="V26" s="342">
        <v>50</v>
      </c>
    </row>
    <row r="27" s="298" customFormat="1" ht="18" customHeight="1" spans="1:22">
      <c r="A27" s="333"/>
      <c r="B27" s="334" t="s">
        <v>170</v>
      </c>
      <c r="C27" s="349" t="s">
        <v>195</v>
      </c>
      <c r="D27" s="336">
        <v>59</v>
      </c>
      <c r="E27" s="343">
        <v>23</v>
      </c>
      <c r="F27" s="338">
        <f t="shared" si="11"/>
        <v>533.8342</v>
      </c>
      <c r="G27" s="339">
        <v>210.1992</v>
      </c>
      <c r="H27" s="339">
        <v>109.0884</v>
      </c>
      <c r="I27" s="339">
        <v>25.092</v>
      </c>
      <c r="J27" s="339">
        <v>7.1746</v>
      </c>
      <c r="K27" s="339">
        <v>41.28</v>
      </c>
      <c r="L27" s="339">
        <f t="shared" si="18"/>
        <v>141</v>
      </c>
      <c r="M27" s="351">
        <v>0.18</v>
      </c>
      <c r="N27" s="340">
        <f t="shared" si="12"/>
        <v>162.8147274</v>
      </c>
      <c r="O27" s="340">
        <f t="shared" si="13"/>
        <v>56.248672</v>
      </c>
      <c r="P27" s="340">
        <f t="shared" si="14"/>
        <v>28.124336</v>
      </c>
      <c r="Q27" s="340">
        <f t="shared" si="15"/>
        <v>42.186504</v>
      </c>
      <c r="R27" s="340">
        <f t="shared" si="16"/>
        <v>30.5852154</v>
      </c>
      <c r="S27" s="341">
        <v>10</v>
      </c>
      <c r="T27" s="341">
        <v>5.67</v>
      </c>
      <c r="U27" s="338">
        <f t="shared" si="17"/>
        <v>696.6489274</v>
      </c>
      <c r="V27" s="342">
        <v>43</v>
      </c>
    </row>
    <row r="28" s="298" customFormat="1" ht="18" customHeight="1" spans="1:22">
      <c r="A28" s="333"/>
      <c r="B28" s="334" t="s">
        <v>170</v>
      </c>
      <c r="C28" s="349" t="s">
        <v>196</v>
      </c>
      <c r="D28" s="336">
        <v>60</v>
      </c>
      <c r="E28" s="337">
        <v>24</v>
      </c>
      <c r="F28" s="338">
        <f t="shared" si="11"/>
        <v>545.5489</v>
      </c>
      <c r="G28" s="339">
        <v>212.478</v>
      </c>
      <c r="H28" s="353">
        <v>116.3676</v>
      </c>
      <c r="I28" s="339">
        <v>22.3894</v>
      </c>
      <c r="J28" s="339">
        <v>8.9937</v>
      </c>
      <c r="K28" s="339">
        <v>41.3202</v>
      </c>
      <c r="L28" s="339">
        <f t="shared" si="18"/>
        <v>144</v>
      </c>
      <c r="M28" s="351">
        <v>0.3</v>
      </c>
      <c r="N28" s="340">
        <f t="shared" si="12"/>
        <v>168.9842289</v>
      </c>
      <c r="O28" s="340">
        <f t="shared" si="13"/>
        <v>57.636592</v>
      </c>
      <c r="P28" s="340">
        <f t="shared" si="14"/>
        <v>28.818296</v>
      </c>
      <c r="Q28" s="340">
        <f t="shared" si="15"/>
        <v>43.227444</v>
      </c>
      <c r="R28" s="340">
        <f t="shared" si="16"/>
        <v>31.3398969</v>
      </c>
      <c r="S28" s="341">
        <v>10</v>
      </c>
      <c r="T28" s="341">
        <v>7.962</v>
      </c>
      <c r="U28" s="338">
        <f t="shared" si="17"/>
        <v>714.5331289</v>
      </c>
      <c r="V28" s="342">
        <v>51</v>
      </c>
    </row>
    <row r="29" s="298" customFormat="1" ht="18" customHeight="1" spans="1:22">
      <c r="A29" s="333"/>
      <c r="B29" s="334" t="s">
        <v>170</v>
      </c>
      <c r="C29" s="352" t="s">
        <v>197</v>
      </c>
      <c r="D29" s="336">
        <v>68</v>
      </c>
      <c r="E29" s="343">
        <v>24</v>
      </c>
      <c r="F29" s="338">
        <f t="shared" si="11"/>
        <v>595.8209</v>
      </c>
      <c r="G29" s="339">
        <v>228.0096</v>
      </c>
      <c r="H29" s="339">
        <v>127.1736</v>
      </c>
      <c r="I29" s="339">
        <v>25.2411</v>
      </c>
      <c r="J29" s="339">
        <v>8.6626</v>
      </c>
      <c r="K29" s="339">
        <v>46.734</v>
      </c>
      <c r="L29" s="339">
        <f t="shared" si="18"/>
        <v>160</v>
      </c>
      <c r="M29" s="351">
        <v>0.74</v>
      </c>
      <c r="N29" s="340">
        <f t="shared" si="12"/>
        <v>176.2318443</v>
      </c>
      <c r="O29" s="340">
        <f t="shared" si="13"/>
        <v>62.253904</v>
      </c>
      <c r="P29" s="340">
        <f t="shared" si="14"/>
        <v>31.126952</v>
      </c>
      <c r="Q29" s="340">
        <f t="shared" si="15"/>
        <v>46.690428</v>
      </c>
      <c r="R29" s="340">
        <f t="shared" si="16"/>
        <v>33.8505603</v>
      </c>
      <c r="S29" s="341">
        <v>4</v>
      </c>
      <c r="T29" s="341">
        <v>2.31</v>
      </c>
      <c r="U29" s="338">
        <f t="shared" si="17"/>
        <v>772.0527443</v>
      </c>
      <c r="V29" s="342">
        <v>56</v>
      </c>
    </row>
    <row r="30" s="299" customFormat="1" ht="18" customHeight="1" spans="1:22">
      <c r="A30" s="344"/>
      <c r="B30" s="345"/>
      <c r="C30" s="296" t="s">
        <v>198</v>
      </c>
      <c r="D30" s="336">
        <f>SUM(D31:D31)</f>
        <v>40</v>
      </c>
      <c r="E30" s="336">
        <f>SUM(E31:E31)</f>
        <v>56</v>
      </c>
      <c r="F30" s="338">
        <f t="shared" si="11"/>
        <v>422.0341</v>
      </c>
      <c r="G30" s="339">
        <f t="shared" ref="G30:M30" si="19">SUM(G31:G31)</f>
        <v>181.26</v>
      </c>
      <c r="H30" s="339">
        <f t="shared" si="19"/>
        <v>83.6124</v>
      </c>
      <c r="I30" s="339">
        <f t="shared" si="19"/>
        <v>8.2311</v>
      </c>
      <c r="J30" s="339">
        <f t="shared" si="19"/>
        <v>12.9306</v>
      </c>
      <c r="K30" s="339">
        <f t="shared" si="19"/>
        <v>0</v>
      </c>
      <c r="L30" s="339">
        <f t="shared" si="19"/>
        <v>136</v>
      </c>
      <c r="M30" s="339">
        <f t="shared" si="19"/>
        <v>4.2024</v>
      </c>
      <c r="N30" s="340">
        <f t="shared" si="12"/>
        <v>132.3848427</v>
      </c>
      <c r="O30" s="340">
        <f t="shared" si="13"/>
        <v>45.765456</v>
      </c>
      <c r="P30" s="340">
        <f t="shared" si="14"/>
        <v>22.882728</v>
      </c>
      <c r="Q30" s="340">
        <f t="shared" si="15"/>
        <v>34.324092</v>
      </c>
      <c r="R30" s="340">
        <f t="shared" ref="R30:R44" si="20">(G30+H30+I30+J30)*0.087</f>
        <v>24.8849667</v>
      </c>
      <c r="S30" s="341">
        <f>SUM(S31:S31)</f>
        <v>8</v>
      </c>
      <c r="T30" s="341">
        <f>SUM(T31:T31)</f>
        <v>4.5276</v>
      </c>
      <c r="U30" s="338">
        <f t="shared" si="17"/>
        <v>554.4189427</v>
      </c>
      <c r="V30" s="347"/>
    </row>
    <row r="31" s="298" customFormat="1" ht="18" customHeight="1" spans="1:22">
      <c r="A31" s="333">
        <v>4</v>
      </c>
      <c r="B31" s="334" t="s">
        <v>170</v>
      </c>
      <c r="C31" s="348" t="s">
        <v>199</v>
      </c>
      <c r="D31" s="336">
        <v>40</v>
      </c>
      <c r="E31" s="336">
        <v>56</v>
      </c>
      <c r="F31" s="338">
        <f t="shared" si="11"/>
        <v>422.0341</v>
      </c>
      <c r="G31" s="339">
        <v>181.26</v>
      </c>
      <c r="H31" s="339">
        <v>83.6124</v>
      </c>
      <c r="I31" s="339">
        <v>8.2311</v>
      </c>
      <c r="J31" s="339">
        <v>12.9306</v>
      </c>
      <c r="K31" s="339"/>
      <c r="L31" s="339">
        <f>D31*2+E31*1</f>
        <v>136</v>
      </c>
      <c r="M31" s="339">
        <v>4.2024</v>
      </c>
      <c r="N31" s="340">
        <f t="shared" si="12"/>
        <v>132.3848427</v>
      </c>
      <c r="O31" s="340">
        <f t="shared" si="13"/>
        <v>45.765456</v>
      </c>
      <c r="P31" s="340">
        <f t="shared" si="14"/>
        <v>22.882728</v>
      </c>
      <c r="Q31" s="340">
        <f t="shared" si="15"/>
        <v>34.324092</v>
      </c>
      <c r="R31" s="340">
        <f t="shared" si="20"/>
        <v>24.8849667</v>
      </c>
      <c r="S31" s="341">
        <v>8</v>
      </c>
      <c r="T31" s="341">
        <v>4.5276</v>
      </c>
      <c r="U31" s="338">
        <f t="shared" si="17"/>
        <v>554.4189427</v>
      </c>
      <c r="V31" s="342"/>
    </row>
    <row r="32" s="298" customFormat="1" ht="18" customHeight="1" spans="1:22">
      <c r="A32" s="333"/>
      <c r="B32" s="334" t="s">
        <v>170</v>
      </c>
      <c r="C32" s="335" t="s">
        <v>200</v>
      </c>
      <c r="D32" s="336">
        <v>27</v>
      </c>
      <c r="E32" s="343">
        <v>7</v>
      </c>
      <c r="F32" s="338">
        <f t="shared" si="11"/>
        <v>238.5184</v>
      </c>
      <c r="G32" s="339">
        <v>110.6916</v>
      </c>
      <c r="H32" s="339">
        <v>53.6616</v>
      </c>
      <c r="I32" s="339">
        <v>7.5497</v>
      </c>
      <c r="J32" s="339">
        <v>5.6155</v>
      </c>
      <c r="K32" s="339"/>
      <c r="L32" s="339">
        <f>D32*2+E32*1</f>
        <v>61</v>
      </c>
      <c r="M32" s="339"/>
      <c r="N32" s="340">
        <f t="shared" si="12"/>
        <v>79.3507248</v>
      </c>
      <c r="O32" s="340">
        <f t="shared" si="13"/>
        <v>28.402944</v>
      </c>
      <c r="P32" s="340">
        <f t="shared" si="14"/>
        <v>14.201472</v>
      </c>
      <c r="Q32" s="340">
        <f t="shared" si="15"/>
        <v>21.302208</v>
      </c>
      <c r="R32" s="340">
        <f t="shared" si="20"/>
        <v>15.4441008</v>
      </c>
      <c r="S32" s="341"/>
      <c r="T32" s="341"/>
      <c r="U32" s="338">
        <f t="shared" si="17"/>
        <v>317.8691248</v>
      </c>
      <c r="V32" s="342"/>
    </row>
    <row r="33" s="299" customFormat="1" ht="18" customHeight="1" spans="1:22">
      <c r="A33" s="344">
        <v>18</v>
      </c>
      <c r="B33" s="345"/>
      <c r="C33" s="296" t="s">
        <v>201</v>
      </c>
      <c r="D33" s="336">
        <f>D34</f>
        <v>92</v>
      </c>
      <c r="E33" s="336">
        <f t="shared" ref="E33:M33" si="21">E34</f>
        <v>47</v>
      </c>
      <c r="F33" s="338">
        <f t="shared" si="21"/>
        <v>878.7505</v>
      </c>
      <c r="G33" s="339">
        <f t="shared" si="21"/>
        <v>404.8884</v>
      </c>
      <c r="H33" s="339">
        <f t="shared" si="21"/>
        <v>179.334</v>
      </c>
      <c r="I33" s="339">
        <f t="shared" si="21"/>
        <v>42.9094</v>
      </c>
      <c r="J33" s="339">
        <f t="shared" si="21"/>
        <v>20.6187</v>
      </c>
      <c r="K33" s="339">
        <f t="shared" si="21"/>
        <v>0</v>
      </c>
      <c r="L33" s="339">
        <f t="shared" si="21"/>
        <v>231</v>
      </c>
      <c r="M33" s="339">
        <f t="shared" si="21"/>
        <v>16.8096</v>
      </c>
      <c r="N33" s="340">
        <f t="shared" si="12"/>
        <v>291.5424735</v>
      </c>
      <c r="O33" s="340">
        <f t="shared" si="13"/>
        <v>103.64008</v>
      </c>
      <c r="P33" s="340">
        <f t="shared" si="14"/>
        <v>51.82004</v>
      </c>
      <c r="Q33" s="340">
        <f t="shared" si="15"/>
        <v>77.73006</v>
      </c>
      <c r="R33" s="340">
        <f t="shared" si="20"/>
        <v>56.3542935</v>
      </c>
      <c r="S33" s="341">
        <f>S34</f>
        <v>3</v>
      </c>
      <c r="T33" s="341">
        <f>T34</f>
        <v>1.998</v>
      </c>
      <c r="U33" s="338">
        <f t="shared" si="17"/>
        <v>1170.2929735</v>
      </c>
      <c r="V33" s="347"/>
    </row>
    <row r="34" s="298" customFormat="1" ht="18" customHeight="1" spans="1:22">
      <c r="A34" s="333"/>
      <c r="B34" s="334" t="s">
        <v>170</v>
      </c>
      <c r="C34" s="349" t="s">
        <v>202</v>
      </c>
      <c r="D34" s="336">
        <v>92</v>
      </c>
      <c r="E34" s="343">
        <v>47</v>
      </c>
      <c r="F34" s="338">
        <f t="shared" si="11"/>
        <v>878.7505</v>
      </c>
      <c r="G34" s="339">
        <v>404.8884</v>
      </c>
      <c r="H34" s="339">
        <v>179.334</v>
      </c>
      <c r="I34" s="339">
        <v>42.9094</v>
      </c>
      <c r="J34" s="339">
        <v>20.6187</v>
      </c>
      <c r="K34" s="339"/>
      <c r="L34" s="339">
        <f>D34*2+E34*1</f>
        <v>231</v>
      </c>
      <c r="M34" s="339">
        <v>16.8096</v>
      </c>
      <c r="N34" s="340">
        <f t="shared" ref="N34:N42" si="22">O34+P34+T34+R34+Q34</f>
        <v>291.5424735</v>
      </c>
      <c r="O34" s="340">
        <f t="shared" si="13"/>
        <v>103.64008</v>
      </c>
      <c r="P34" s="340">
        <f t="shared" si="14"/>
        <v>51.82004</v>
      </c>
      <c r="Q34" s="340">
        <f t="shared" si="15"/>
        <v>77.73006</v>
      </c>
      <c r="R34" s="340">
        <f t="shared" si="20"/>
        <v>56.3542935</v>
      </c>
      <c r="S34" s="341">
        <v>3</v>
      </c>
      <c r="T34" s="341">
        <v>1.998</v>
      </c>
      <c r="U34" s="338">
        <f t="shared" si="17"/>
        <v>1170.2929735</v>
      </c>
      <c r="V34" s="342"/>
    </row>
    <row r="35" s="298" customFormat="1" ht="17.1" customHeight="1" spans="1:22">
      <c r="A35" s="333">
        <v>21</v>
      </c>
      <c r="B35" s="334" t="s">
        <v>170</v>
      </c>
      <c r="C35" s="296" t="s">
        <v>203</v>
      </c>
      <c r="D35" s="336">
        <v>28</v>
      </c>
      <c r="E35" s="343">
        <v>15</v>
      </c>
      <c r="F35" s="338">
        <f t="shared" si="11"/>
        <v>266.6777</v>
      </c>
      <c r="G35" s="339">
        <v>122.8848</v>
      </c>
      <c r="H35" s="339">
        <v>56.7432</v>
      </c>
      <c r="I35" s="339">
        <v>9.7894</v>
      </c>
      <c r="J35" s="339">
        <v>6.2603</v>
      </c>
      <c r="K35" s="339"/>
      <c r="L35" s="339">
        <f>D35*2+E35*1</f>
        <v>71</v>
      </c>
      <c r="M35" s="339"/>
      <c r="N35" s="340">
        <f t="shared" si="22"/>
        <v>87.4679319</v>
      </c>
      <c r="O35" s="340">
        <f t="shared" si="13"/>
        <v>31.308432</v>
      </c>
      <c r="P35" s="340">
        <f t="shared" si="14"/>
        <v>15.654216</v>
      </c>
      <c r="Q35" s="340">
        <f t="shared" si="15"/>
        <v>23.481324</v>
      </c>
      <c r="R35" s="340">
        <f t="shared" si="20"/>
        <v>17.0239599</v>
      </c>
      <c r="S35" s="341"/>
      <c r="T35" s="341"/>
      <c r="U35" s="338">
        <f t="shared" si="17"/>
        <v>354.1456319</v>
      </c>
      <c r="V35" s="342"/>
    </row>
    <row r="36" s="299" customFormat="1" ht="18" customHeight="1" spans="1:22">
      <c r="A36" s="344"/>
      <c r="B36" s="345"/>
      <c r="C36" s="296" t="s">
        <v>204</v>
      </c>
      <c r="D36" s="336">
        <f>SUM(D37:D37)</f>
        <v>14</v>
      </c>
      <c r="E36" s="336">
        <f>SUM(E37:E37)</f>
        <v>4</v>
      </c>
      <c r="F36" s="338">
        <f t="shared" si="11"/>
        <v>126.5981</v>
      </c>
      <c r="G36" s="339">
        <f t="shared" ref="G36:L36" si="23">SUM(G37:G37)</f>
        <v>58.8684</v>
      </c>
      <c r="H36" s="339">
        <f t="shared" si="23"/>
        <v>28.8408</v>
      </c>
      <c r="I36" s="339">
        <f t="shared" si="23"/>
        <v>3.4457</v>
      </c>
      <c r="J36" s="339">
        <f t="shared" si="23"/>
        <v>3.4432</v>
      </c>
      <c r="K36" s="339">
        <f t="shared" si="23"/>
        <v>0</v>
      </c>
      <c r="L36" s="339">
        <f t="shared" si="23"/>
        <v>32</v>
      </c>
      <c r="M36" s="339"/>
      <c r="N36" s="340">
        <f t="shared" si="22"/>
        <v>42.2853507</v>
      </c>
      <c r="O36" s="340">
        <f t="shared" si="13"/>
        <v>15.135696</v>
      </c>
      <c r="P36" s="340">
        <f t="shared" si="14"/>
        <v>7.567848</v>
      </c>
      <c r="Q36" s="340">
        <f t="shared" si="15"/>
        <v>11.351772</v>
      </c>
      <c r="R36" s="340">
        <f t="shared" si="20"/>
        <v>8.2300347</v>
      </c>
      <c r="S36" s="341">
        <f>SUM(S37:S37)</f>
        <v>0</v>
      </c>
      <c r="T36" s="341">
        <f>SUM(T37:T37)</f>
        <v>0</v>
      </c>
      <c r="U36" s="338">
        <f t="shared" si="17"/>
        <v>168.8834507</v>
      </c>
      <c r="V36" s="347"/>
    </row>
    <row r="37" s="298" customFormat="1" ht="18" customHeight="1" spans="1:22">
      <c r="A37" s="333">
        <v>28</v>
      </c>
      <c r="B37" s="334" t="s">
        <v>170</v>
      </c>
      <c r="C37" s="349" t="s">
        <v>205</v>
      </c>
      <c r="D37" s="336">
        <v>14</v>
      </c>
      <c r="E37" s="343">
        <v>4</v>
      </c>
      <c r="F37" s="338">
        <f t="shared" si="11"/>
        <v>126.5981</v>
      </c>
      <c r="G37" s="339">
        <v>58.8684</v>
      </c>
      <c r="H37" s="339">
        <v>28.8408</v>
      </c>
      <c r="I37" s="339">
        <v>3.4457</v>
      </c>
      <c r="J37" s="339">
        <v>3.4432</v>
      </c>
      <c r="K37" s="339"/>
      <c r="L37" s="339">
        <f>D37*2+E37*1</f>
        <v>32</v>
      </c>
      <c r="M37" s="339"/>
      <c r="N37" s="340">
        <f t="shared" si="22"/>
        <v>42.2853507</v>
      </c>
      <c r="O37" s="340">
        <f t="shared" si="13"/>
        <v>15.135696</v>
      </c>
      <c r="P37" s="340">
        <f t="shared" si="14"/>
        <v>7.567848</v>
      </c>
      <c r="Q37" s="340">
        <f t="shared" si="15"/>
        <v>11.351772</v>
      </c>
      <c r="R37" s="340">
        <f t="shared" si="20"/>
        <v>8.2300347</v>
      </c>
      <c r="S37" s="341"/>
      <c r="T37" s="341"/>
      <c r="U37" s="338">
        <f t="shared" si="17"/>
        <v>168.8834507</v>
      </c>
      <c r="V37" s="342"/>
    </row>
    <row r="38" s="298" customFormat="1" ht="18" customHeight="1" spans="1:22">
      <c r="A38" s="333">
        <v>36</v>
      </c>
      <c r="B38" s="334" t="s">
        <v>170</v>
      </c>
      <c r="C38" s="296" t="s">
        <v>206</v>
      </c>
      <c r="D38" s="336">
        <v>91</v>
      </c>
      <c r="E38" s="343">
        <v>12</v>
      </c>
      <c r="F38" s="338">
        <f t="shared" si="11"/>
        <v>830.5787</v>
      </c>
      <c r="G38" s="339">
        <v>400.158</v>
      </c>
      <c r="H38" s="339">
        <v>200.724</v>
      </c>
      <c r="I38" s="339">
        <v>2.7566</v>
      </c>
      <c r="J38" s="355">
        <v>32.9401</v>
      </c>
      <c r="K38" s="339"/>
      <c r="L38" s="339">
        <f>D38*2+E38*1</f>
        <v>194</v>
      </c>
      <c r="M38" s="339">
        <v>4.2024</v>
      </c>
      <c r="N38" s="340">
        <f t="shared" si="22"/>
        <v>284.5506789</v>
      </c>
      <c r="O38" s="340">
        <f t="shared" si="13"/>
        <v>101.852592</v>
      </c>
      <c r="P38" s="340">
        <f t="shared" si="14"/>
        <v>50.926296</v>
      </c>
      <c r="Q38" s="340">
        <f t="shared" si="15"/>
        <v>76.389444</v>
      </c>
      <c r="R38" s="340">
        <f t="shared" si="20"/>
        <v>55.3823469</v>
      </c>
      <c r="S38" s="341"/>
      <c r="T38" s="341"/>
      <c r="U38" s="338">
        <f t="shared" si="17"/>
        <v>1115.1293789</v>
      </c>
      <c r="V38" s="342"/>
    </row>
    <row r="39" s="298" customFormat="1" ht="18" customHeight="1" spans="1:22">
      <c r="A39" s="333"/>
      <c r="B39" s="334" t="s">
        <v>170</v>
      </c>
      <c r="C39" s="296" t="s">
        <v>207</v>
      </c>
      <c r="D39" s="336">
        <v>29</v>
      </c>
      <c r="E39" s="337">
        <v>17</v>
      </c>
      <c r="F39" s="338">
        <f t="shared" si="11"/>
        <v>258.3085</v>
      </c>
      <c r="G39" s="339">
        <v>112.6128</v>
      </c>
      <c r="H39" s="339">
        <v>52.2372</v>
      </c>
      <c r="I39" s="339">
        <v>14.184</v>
      </c>
      <c r="J39" s="339">
        <v>4.2745</v>
      </c>
      <c r="K39" s="339"/>
      <c r="L39" s="339">
        <f>D39*2+E39*1</f>
        <v>75</v>
      </c>
      <c r="M39" s="339"/>
      <c r="N39" s="340">
        <f t="shared" si="22"/>
        <v>81.9388995</v>
      </c>
      <c r="O39" s="340">
        <f t="shared" si="13"/>
        <v>29.32936</v>
      </c>
      <c r="P39" s="340">
        <f t="shared" si="14"/>
        <v>14.66468</v>
      </c>
      <c r="Q39" s="340">
        <f t="shared" si="15"/>
        <v>21.99702</v>
      </c>
      <c r="R39" s="340">
        <f t="shared" si="20"/>
        <v>15.9478395</v>
      </c>
      <c r="S39" s="341"/>
      <c r="T39" s="341"/>
      <c r="U39" s="338">
        <f t="shared" si="17"/>
        <v>340.2473995</v>
      </c>
      <c r="V39" s="342"/>
    </row>
    <row r="40" s="298" customFormat="1" ht="18" customHeight="1" spans="1:22">
      <c r="A40" s="333"/>
      <c r="B40" s="334" t="s">
        <v>170</v>
      </c>
      <c r="C40" s="335" t="s">
        <v>208</v>
      </c>
      <c r="D40" s="336">
        <f>D41+D42</f>
        <v>163</v>
      </c>
      <c r="E40" s="336">
        <f>E41+E42</f>
        <v>97</v>
      </c>
      <c r="F40" s="338">
        <f t="shared" ref="F40:M40" si="24">F41+F42</f>
        <v>1586.4415</v>
      </c>
      <c r="G40" s="341">
        <f t="shared" si="24"/>
        <v>701.2044</v>
      </c>
      <c r="H40" s="341">
        <f t="shared" si="24"/>
        <v>328.3512</v>
      </c>
      <c r="I40" s="341">
        <f t="shared" si="24"/>
        <v>50.9476</v>
      </c>
      <c r="J40" s="341">
        <f t="shared" si="24"/>
        <v>38.6223</v>
      </c>
      <c r="K40" s="341">
        <f t="shared" si="24"/>
        <v>44.316</v>
      </c>
      <c r="L40" s="339">
        <f t="shared" si="24"/>
        <v>423</v>
      </c>
      <c r="M40" s="339">
        <f t="shared" si="24"/>
        <v>3.3552</v>
      </c>
      <c r="N40" s="340">
        <f t="shared" si="22"/>
        <v>507.3686985</v>
      </c>
      <c r="O40" s="340">
        <f t="shared" si="13"/>
        <v>179.06008</v>
      </c>
      <c r="P40" s="340">
        <f t="shared" si="14"/>
        <v>89.53004</v>
      </c>
      <c r="Q40" s="340">
        <f t="shared" si="15"/>
        <v>134.29506</v>
      </c>
      <c r="R40" s="340">
        <f t="shared" si="20"/>
        <v>97.3639185</v>
      </c>
      <c r="S40" s="341">
        <f>S41+S42</f>
        <v>10</v>
      </c>
      <c r="T40" s="341">
        <f>T41+T42</f>
        <v>7.1196</v>
      </c>
      <c r="U40" s="338">
        <f t="shared" si="17"/>
        <v>2093.8101985</v>
      </c>
      <c r="V40" s="342"/>
    </row>
    <row r="41" s="299" customFormat="1" ht="18" customHeight="1" spans="1:22">
      <c r="A41" s="344"/>
      <c r="B41" s="345"/>
      <c r="C41" s="335" t="s">
        <v>209</v>
      </c>
      <c r="D41" s="343">
        <v>151</v>
      </c>
      <c r="E41" s="343">
        <v>97</v>
      </c>
      <c r="F41" s="353">
        <f>SUM(G41:L41)</f>
        <v>1476.5692</v>
      </c>
      <c r="G41" s="339">
        <v>646.5492</v>
      </c>
      <c r="H41" s="339">
        <v>306.4992</v>
      </c>
      <c r="I41" s="339">
        <v>41.5825</v>
      </c>
      <c r="J41" s="339">
        <v>38.6223</v>
      </c>
      <c r="K41" s="339">
        <v>44.316</v>
      </c>
      <c r="L41" s="339">
        <f>D41*2+E41*1</f>
        <v>399</v>
      </c>
      <c r="M41" s="339">
        <v>3.3552</v>
      </c>
      <c r="N41" s="356">
        <f t="shared" si="22"/>
        <v>468.9837804</v>
      </c>
      <c r="O41" s="356">
        <f t="shared" ref="O41:O53" si="25">(G41+H41+I41+J41)*0.16</f>
        <v>165.320512</v>
      </c>
      <c r="P41" s="356">
        <f t="shared" ref="P41:P53" si="26">(G41+H41+I41+J41)*0.08</f>
        <v>82.660256</v>
      </c>
      <c r="Q41" s="356">
        <f t="shared" ref="Q41:Q53" si="27">(G41+H41+I41+J41)*0.12</f>
        <v>123.990384</v>
      </c>
      <c r="R41" s="356">
        <f t="shared" si="20"/>
        <v>89.8930284</v>
      </c>
      <c r="S41" s="339">
        <v>10</v>
      </c>
      <c r="T41" s="339">
        <v>7.1196</v>
      </c>
      <c r="U41" s="353">
        <f t="shared" ref="U41:U53" si="28">F41+N41</f>
        <v>1945.5529804</v>
      </c>
      <c r="V41" s="347"/>
    </row>
    <row r="42" s="299" customFormat="1" ht="18" customHeight="1" spans="1:22">
      <c r="A42" s="344"/>
      <c r="B42" s="345"/>
      <c r="C42" s="335" t="s">
        <v>210</v>
      </c>
      <c r="D42" s="343">
        <v>12</v>
      </c>
      <c r="E42" s="343"/>
      <c r="F42" s="353">
        <f>SUM(G42:L42)</f>
        <v>109.8723</v>
      </c>
      <c r="G42" s="339">
        <v>54.6552</v>
      </c>
      <c r="H42" s="339">
        <v>21.852</v>
      </c>
      <c r="I42" s="339">
        <v>9.3651</v>
      </c>
      <c r="J42" s="339"/>
      <c r="K42" s="339"/>
      <c r="L42" s="339">
        <f>D42*2+E42*1</f>
        <v>24</v>
      </c>
      <c r="M42" s="339"/>
      <c r="N42" s="356">
        <f t="shared" si="22"/>
        <v>38.3849181</v>
      </c>
      <c r="O42" s="356">
        <f t="shared" si="25"/>
        <v>13.739568</v>
      </c>
      <c r="P42" s="356">
        <f t="shared" si="26"/>
        <v>6.869784</v>
      </c>
      <c r="Q42" s="356">
        <f t="shared" si="27"/>
        <v>10.304676</v>
      </c>
      <c r="R42" s="356">
        <f t="shared" si="20"/>
        <v>7.4708901</v>
      </c>
      <c r="S42" s="339"/>
      <c r="T42" s="357"/>
      <c r="U42" s="353">
        <f t="shared" si="28"/>
        <v>148.2572181</v>
      </c>
      <c r="V42" s="347"/>
    </row>
    <row r="43" s="299" customFormat="1" ht="18" customHeight="1" spans="1:22">
      <c r="A43" s="344"/>
      <c r="B43" s="345"/>
      <c r="C43" s="296" t="s">
        <v>211</v>
      </c>
      <c r="D43" s="336">
        <f t="shared" ref="D43:L43" si="29">D44</f>
        <v>3</v>
      </c>
      <c r="E43" s="336">
        <f t="shared" si="29"/>
        <v>1</v>
      </c>
      <c r="F43" s="338">
        <f t="shared" si="29"/>
        <v>29.5449</v>
      </c>
      <c r="G43" s="339">
        <f t="shared" si="29"/>
        <v>14.2908</v>
      </c>
      <c r="H43" s="339">
        <f t="shared" si="29"/>
        <v>7.0908</v>
      </c>
      <c r="I43" s="339">
        <f t="shared" si="29"/>
        <v>0</v>
      </c>
      <c r="J43" s="339">
        <f t="shared" si="29"/>
        <v>1.1633</v>
      </c>
      <c r="K43" s="339">
        <f t="shared" si="29"/>
        <v>0</v>
      </c>
      <c r="L43" s="339">
        <f t="shared" si="29"/>
        <v>7</v>
      </c>
      <c r="M43" s="339"/>
      <c r="N43" s="340">
        <f t="shared" ref="N43:N58" si="30">O43+P43+T43+R43+Q43</f>
        <v>10.0775703</v>
      </c>
      <c r="O43" s="340">
        <f t="shared" si="25"/>
        <v>3.607184</v>
      </c>
      <c r="P43" s="340">
        <f t="shared" si="26"/>
        <v>1.803592</v>
      </c>
      <c r="Q43" s="340">
        <f t="shared" si="27"/>
        <v>2.705388</v>
      </c>
      <c r="R43" s="340">
        <f t="shared" si="20"/>
        <v>1.9614063</v>
      </c>
      <c r="S43" s="341">
        <f>S44</f>
        <v>0</v>
      </c>
      <c r="T43" s="341">
        <f>T44</f>
        <v>0</v>
      </c>
      <c r="U43" s="338">
        <f t="shared" si="28"/>
        <v>39.6224703</v>
      </c>
      <c r="V43" s="347"/>
    </row>
    <row r="44" s="298" customFormat="1" ht="18" customHeight="1" spans="1:22">
      <c r="A44" s="333"/>
      <c r="B44" s="334" t="s">
        <v>212</v>
      </c>
      <c r="C44" s="296" t="s">
        <v>213</v>
      </c>
      <c r="D44" s="336">
        <v>3</v>
      </c>
      <c r="E44" s="336">
        <v>1</v>
      </c>
      <c r="F44" s="338">
        <f>SUM(G44:L44)</f>
        <v>29.5449</v>
      </c>
      <c r="G44" s="339">
        <v>14.2908</v>
      </c>
      <c r="H44" s="339">
        <v>7.0908</v>
      </c>
      <c r="I44" s="339"/>
      <c r="J44" s="339">
        <v>1.1633</v>
      </c>
      <c r="K44" s="339"/>
      <c r="L44" s="339">
        <f>D44*2+E44*1</f>
        <v>7</v>
      </c>
      <c r="M44" s="339"/>
      <c r="N44" s="340">
        <f t="shared" si="30"/>
        <v>10.0775703</v>
      </c>
      <c r="O44" s="340">
        <f t="shared" si="25"/>
        <v>3.607184</v>
      </c>
      <c r="P44" s="340">
        <f t="shared" si="26"/>
        <v>1.803592</v>
      </c>
      <c r="Q44" s="340">
        <f t="shared" si="27"/>
        <v>2.705388</v>
      </c>
      <c r="R44" s="340">
        <f t="shared" si="20"/>
        <v>1.9614063</v>
      </c>
      <c r="S44" s="341"/>
      <c r="T44" s="341"/>
      <c r="U44" s="338">
        <f t="shared" si="28"/>
        <v>39.6224703</v>
      </c>
      <c r="V44" s="342"/>
    </row>
    <row r="45" s="299" customFormat="1" ht="18" customHeight="1" spans="1:22">
      <c r="A45" s="344"/>
      <c r="B45" s="345"/>
      <c r="C45" s="296" t="s">
        <v>214</v>
      </c>
      <c r="D45" s="336">
        <f>SUM(D46:D58)</f>
        <v>226</v>
      </c>
      <c r="E45" s="336">
        <f>SUM(E46:E58)</f>
        <v>127</v>
      </c>
      <c r="F45" s="338">
        <f t="shared" ref="F45:F53" si="31">SUM(G45:L45)</f>
        <v>2141.0886</v>
      </c>
      <c r="G45" s="339">
        <f t="shared" ref="G45:M45" si="32">SUM(G46:G58)</f>
        <v>983.196</v>
      </c>
      <c r="H45" s="339">
        <f t="shared" si="32"/>
        <v>472.5168</v>
      </c>
      <c r="I45" s="339">
        <f t="shared" si="32"/>
        <v>54.7326</v>
      </c>
      <c r="J45" s="339">
        <f t="shared" si="32"/>
        <v>51.6432</v>
      </c>
      <c r="K45" s="339">
        <f t="shared" si="32"/>
        <v>0</v>
      </c>
      <c r="L45" s="339">
        <f t="shared" si="32"/>
        <v>579</v>
      </c>
      <c r="M45" s="339">
        <f t="shared" si="32"/>
        <v>4.2024</v>
      </c>
      <c r="N45" s="340">
        <f t="shared" si="30"/>
        <v>705.1536042</v>
      </c>
      <c r="O45" s="340">
        <f t="shared" si="25"/>
        <v>249.934176</v>
      </c>
      <c r="P45" s="340">
        <f t="shared" si="26"/>
        <v>124.967088</v>
      </c>
      <c r="Q45" s="340">
        <f t="shared" si="27"/>
        <v>187.450632</v>
      </c>
      <c r="R45" s="340">
        <f t="shared" ref="R45:R63" si="33">(G45+H45+I45+J45)*0.087</f>
        <v>135.9017082</v>
      </c>
      <c r="S45" s="341">
        <f>SUM(S46:S58)</f>
        <v>10</v>
      </c>
      <c r="T45" s="341">
        <f>SUM(T46:T58)</f>
        <v>6.9</v>
      </c>
      <c r="U45" s="338">
        <f t="shared" si="28"/>
        <v>2846.2422042</v>
      </c>
      <c r="V45" s="347"/>
    </row>
    <row r="46" s="299" customFormat="1" ht="18" customHeight="1" spans="1:22">
      <c r="A46" s="344">
        <v>27</v>
      </c>
      <c r="B46" s="345" t="s">
        <v>170</v>
      </c>
      <c r="C46" s="348" t="s">
        <v>215</v>
      </c>
      <c r="D46" s="343">
        <v>51</v>
      </c>
      <c r="E46" s="343">
        <v>17</v>
      </c>
      <c r="F46" s="353">
        <f t="shared" si="31"/>
        <v>479.5366</v>
      </c>
      <c r="G46" s="339">
        <v>224.964</v>
      </c>
      <c r="H46" s="339">
        <v>110.4612</v>
      </c>
      <c r="I46" s="339">
        <v>9.8665</v>
      </c>
      <c r="J46" s="339">
        <v>15.2449</v>
      </c>
      <c r="K46" s="339"/>
      <c r="L46" s="339">
        <f>D46*2+E46*1</f>
        <v>119</v>
      </c>
      <c r="M46" s="358"/>
      <c r="N46" s="356">
        <f t="shared" si="30"/>
        <v>163.9858602</v>
      </c>
      <c r="O46" s="353">
        <f t="shared" si="25"/>
        <v>57.685856</v>
      </c>
      <c r="P46" s="353">
        <f t="shared" si="26"/>
        <v>28.842928</v>
      </c>
      <c r="Q46" s="353">
        <f t="shared" si="27"/>
        <v>43.264392</v>
      </c>
      <c r="R46" s="340">
        <f t="shared" si="33"/>
        <v>31.3666842</v>
      </c>
      <c r="S46" s="339">
        <v>4</v>
      </c>
      <c r="T46" s="339">
        <v>2.826</v>
      </c>
      <c r="U46" s="353">
        <f t="shared" si="28"/>
        <v>643.5224602</v>
      </c>
      <c r="V46" s="347"/>
    </row>
    <row r="47" s="298" customFormat="1" ht="18" customHeight="1" spans="1:22">
      <c r="A47" s="333">
        <v>29</v>
      </c>
      <c r="B47" s="334" t="s">
        <v>170</v>
      </c>
      <c r="C47" s="349" t="s">
        <v>216</v>
      </c>
      <c r="D47" s="336">
        <v>20</v>
      </c>
      <c r="E47" s="337">
        <v>7</v>
      </c>
      <c r="F47" s="338">
        <f t="shared" si="31"/>
        <v>188.4704</v>
      </c>
      <c r="G47" s="339">
        <v>90.9084</v>
      </c>
      <c r="H47" s="339">
        <v>40.0332</v>
      </c>
      <c r="I47" s="339">
        <v>6.156</v>
      </c>
      <c r="J47" s="339">
        <v>4.3728</v>
      </c>
      <c r="K47" s="339"/>
      <c r="L47" s="339">
        <f t="shared" ref="L47:L59" si="34">D47*2+E47*1</f>
        <v>47</v>
      </c>
      <c r="M47" s="339"/>
      <c r="N47" s="340">
        <f t="shared" si="30"/>
        <v>63.2372688</v>
      </c>
      <c r="O47" s="340">
        <f t="shared" si="25"/>
        <v>22.635264</v>
      </c>
      <c r="P47" s="340">
        <f t="shared" si="26"/>
        <v>11.317632</v>
      </c>
      <c r="Q47" s="340">
        <f t="shared" si="27"/>
        <v>16.976448</v>
      </c>
      <c r="R47" s="340">
        <f t="shared" si="33"/>
        <v>12.3079248</v>
      </c>
      <c r="S47" s="341"/>
      <c r="T47" s="341"/>
      <c r="U47" s="338">
        <f t="shared" si="28"/>
        <v>251.7076688</v>
      </c>
      <c r="V47" s="342"/>
    </row>
    <row r="48" s="298" customFormat="1" ht="18" customHeight="1" spans="1:22">
      <c r="A48" s="333">
        <v>30</v>
      </c>
      <c r="B48" s="334" t="s">
        <v>170</v>
      </c>
      <c r="C48" s="349" t="s">
        <v>217</v>
      </c>
      <c r="D48" s="336">
        <v>44</v>
      </c>
      <c r="E48" s="337">
        <v>10</v>
      </c>
      <c r="F48" s="338">
        <f t="shared" si="31"/>
        <v>383.4807</v>
      </c>
      <c r="G48" s="339">
        <v>176.1996</v>
      </c>
      <c r="H48" s="339">
        <v>90.2568</v>
      </c>
      <c r="I48" s="339">
        <v>12.4637</v>
      </c>
      <c r="J48" s="339">
        <v>6.5606</v>
      </c>
      <c r="K48" s="339"/>
      <c r="L48" s="339">
        <f t="shared" si="34"/>
        <v>98</v>
      </c>
      <c r="M48" s="339">
        <v>4.2024</v>
      </c>
      <c r="N48" s="340">
        <f t="shared" si="30"/>
        <v>128.0238729</v>
      </c>
      <c r="O48" s="340">
        <f t="shared" si="25"/>
        <v>45.676912</v>
      </c>
      <c r="P48" s="340">
        <f t="shared" si="26"/>
        <v>22.838456</v>
      </c>
      <c r="Q48" s="340">
        <f t="shared" si="27"/>
        <v>34.257684</v>
      </c>
      <c r="R48" s="340">
        <f t="shared" si="33"/>
        <v>24.8368209</v>
      </c>
      <c r="S48" s="341">
        <v>1</v>
      </c>
      <c r="T48" s="341">
        <v>0.414</v>
      </c>
      <c r="U48" s="338">
        <f t="shared" si="28"/>
        <v>511.5045729</v>
      </c>
      <c r="V48" s="342"/>
    </row>
    <row r="49" s="298" customFormat="1" ht="18" customHeight="1" spans="1:22">
      <c r="A49" s="333">
        <v>31</v>
      </c>
      <c r="B49" s="334" t="s">
        <v>170</v>
      </c>
      <c r="C49" s="348" t="s">
        <v>218</v>
      </c>
      <c r="D49" s="336">
        <v>16</v>
      </c>
      <c r="E49" s="343">
        <v>4</v>
      </c>
      <c r="F49" s="338">
        <f t="shared" si="31"/>
        <v>140.2777</v>
      </c>
      <c r="G49" s="339">
        <v>63.1536</v>
      </c>
      <c r="H49" s="339">
        <v>31.8552</v>
      </c>
      <c r="I49" s="339">
        <v>5.6417</v>
      </c>
      <c r="J49" s="339">
        <v>3.6272</v>
      </c>
      <c r="K49" s="339"/>
      <c r="L49" s="339">
        <f t="shared" si="34"/>
        <v>36</v>
      </c>
      <c r="M49" s="339"/>
      <c r="N49" s="340">
        <f t="shared" si="30"/>
        <v>47.9321319</v>
      </c>
      <c r="O49" s="340">
        <f t="shared" si="25"/>
        <v>16.684432</v>
      </c>
      <c r="P49" s="340">
        <f t="shared" si="26"/>
        <v>8.342216</v>
      </c>
      <c r="Q49" s="340">
        <f t="shared" si="27"/>
        <v>12.513324</v>
      </c>
      <c r="R49" s="340">
        <f t="shared" si="33"/>
        <v>9.0721599</v>
      </c>
      <c r="S49" s="341">
        <v>1</v>
      </c>
      <c r="T49" s="341">
        <v>1.32</v>
      </c>
      <c r="U49" s="338">
        <f t="shared" si="28"/>
        <v>188.2098319</v>
      </c>
      <c r="V49" s="342"/>
    </row>
    <row r="50" s="298" customFormat="1" ht="18" customHeight="1" spans="1:22">
      <c r="A50" s="333">
        <v>32</v>
      </c>
      <c r="B50" s="334" t="s">
        <v>170</v>
      </c>
      <c r="C50" s="349" t="s">
        <v>219</v>
      </c>
      <c r="D50" s="336">
        <v>15</v>
      </c>
      <c r="E50" s="336">
        <v>4</v>
      </c>
      <c r="F50" s="338">
        <f t="shared" si="31"/>
        <v>142.0782</v>
      </c>
      <c r="G50" s="339">
        <v>68.214</v>
      </c>
      <c r="H50" s="339">
        <v>31.9284</v>
      </c>
      <c r="I50" s="339">
        <v>4.1348</v>
      </c>
      <c r="J50" s="339">
        <v>3.801</v>
      </c>
      <c r="K50" s="339"/>
      <c r="L50" s="339">
        <f t="shared" si="34"/>
        <v>34</v>
      </c>
      <c r="M50" s="339"/>
      <c r="N50" s="340">
        <f t="shared" si="30"/>
        <v>48.3109554</v>
      </c>
      <c r="O50" s="340">
        <f t="shared" si="25"/>
        <v>17.292512</v>
      </c>
      <c r="P50" s="340">
        <f t="shared" si="26"/>
        <v>8.646256</v>
      </c>
      <c r="Q50" s="340">
        <f t="shared" si="27"/>
        <v>12.969384</v>
      </c>
      <c r="R50" s="340">
        <f t="shared" si="33"/>
        <v>9.4028034</v>
      </c>
      <c r="S50" s="341"/>
      <c r="T50" s="341"/>
      <c r="U50" s="338">
        <f t="shared" si="28"/>
        <v>190.3891554</v>
      </c>
      <c r="V50" s="342"/>
    </row>
    <row r="51" s="298" customFormat="1" ht="18" customHeight="1" spans="1:22">
      <c r="A51" s="333">
        <v>34</v>
      </c>
      <c r="B51" s="334" t="s">
        <v>170</v>
      </c>
      <c r="C51" s="349" t="s">
        <v>220</v>
      </c>
      <c r="D51" s="336">
        <v>22</v>
      </c>
      <c r="E51" s="336">
        <v>13</v>
      </c>
      <c r="F51" s="338">
        <f t="shared" si="31"/>
        <v>244.8756</v>
      </c>
      <c r="G51" s="339">
        <v>128.2392</v>
      </c>
      <c r="H51" s="339">
        <v>50.6892</v>
      </c>
      <c r="I51" s="339">
        <v>2.1163</v>
      </c>
      <c r="J51" s="339">
        <v>6.8309</v>
      </c>
      <c r="K51" s="339"/>
      <c r="L51" s="339">
        <f t="shared" si="34"/>
        <v>57</v>
      </c>
      <c r="M51" s="339"/>
      <c r="N51" s="340">
        <f t="shared" si="30"/>
        <v>83.9803932</v>
      </c>
      <c r="O51" s="340">
        <f t="shared" si="25"/>
        <v>30.060096</v>
      </c>
      <c r="P51" s="340">
        <f t="shared" si="26"/>
        <v>15.030048</v>
      </c>
      <c r="Q51" s="340">
        <f t="shared" si="27"/>
        <v>22.545072</v>
      </c>
      <c r="R51" s="340">
        <f t="shared" si="33"/>
        <v>16.3451772</v>
      </c>
      <c r="S51" s="341"/>
      <c r="T51" s="341"/>
      <c r="U51" s="338">
        <f t="shared" si="28"/>
        <v>328.8559932</v>
      </c>
      <c r="V51" s="342"/>
    </row>
    <row r="52" s="298" customFormat="1" ht="18" customHeight="1" spans="1:22">
      <c r="A52" s="333"/>
      <c r="B52" s="334" t="s">
        <v>170</v>
      </c>
      <c r="C52" s="348" t="s">
        <v>221</v>
      </c>
      <c r="D52" s="336">
        <v>21</v>
      </c>
      <c r="E52" s="336">
        <v>1</v>
      </c>
      <c r="F52" s="338">
        <f t="shared" si="31"/>
        <v>190.4837</v>
      </c>
      <c r="G52" s="339">
        <v>93.4992</v>
      </c>
      <c r="H52" s="339">
        <v>45.7896</v>
      </c>
      <c r="I52" s="339">
        <v>2.0237</v>
      </c>
      <c r="J52" s="339">
        <v>6.1712</v>
      </c>
      <c r="K52" s="339"/>
      <c r="L52" s="339">
        <f t="shared" si="34"/>
        <v>43</v>
      </c>
      <c r="M52" s="339"/>
      <c r="N52" s="340">
        <f t="shared" si="30"/>
        <v>65.9252139</v>
      </c>
      <c r="O52" s="340">
        <f t="shared" si="25"/>
        <v>23.597392</v>
      </c>
      <c r="P52" s="340">
        <f t="shared" si="26"/>
        <v>11.798696</v>
      </c>
      <c r="Q52" s="340">
        <f t="shared" si="27"/>
        <v>17.698044</v>
      </c>
      <c r="R52" s="340">
        <f t="shared" si="33"/>
        <v>12.8310819</v>
      </c>
      <c r="S52" s="341"/>
      <c r="T52" s="341"/>
      <c r="U52" s="338">
        <f t="shared" si="28"/>
        <v>256.4089139</v>
      </c>
      <c r="V52" s="342"/>
    </row>
    <row r="53" s="298" customFormat="1" ht="18" customHeight="1" spans="1:22">
      <c r="A53" s="333"/>
      <c r="B53" s="334" t="s">
        <v>177</v>
      </c>
      <c r="C53" s="348" t="s">
        <v>222</v>
      </c>
      <c r="D53" s="336">
        <v>12</v>
      </c>
      <c r="E53" s="337"/>
      <c r="F53" s="338">
        <f t="shared" si="31"/>
        <v>92.4948</v>
      </c>
      <c r="G53" s="339">
        <v>40.2396</v>
      </c>
      <c r="H53" s="339">
        <v>21.8844</v>
      </c>
      <c r="I53" s="339">
        <v>5.4411</v>
      </c>
      <c r="J53" s="339">
        <v>0.9297</v>
      </c>
      <c r="K53" s="339"/>
      <c r="L53" s="339">
        <f t="shared" si="34"/>
        <v>24</v>
      </c>
      <c r="M53" s="339"/>
      <c r="N53" s="340">
        <f t="shared" si="30"/>
        <v>30.6171756</v>
      </c>
      <c r="O53" s="340">
        <f t="shared" si="25"/>
        <v>10.959168</v>
      </c>
      <c r="P53" s="340">
        <f t="shared" si="26"/>
        <v>5.479584</v>
      </c>
      <c r="Q53" s="340">
        <f t="shared" si="27"/>
        <v>8.219376</v>
      </c>
      <c r="R53" s="340">
        <f t="shared" si="33"/>
        <v>5.9590476</v>
      </c>
      <c r="S53" s="341"/>
      <c r="T53" s="341"/>
      <c r="U53" s="338">
        <f t="shared" si="28"/>
        <v>123.1119756</v>
      </c>
      <c r="V53" s="342"/>
    </row>
    <row r="54" s="298" customFormat="1" ht="18" customHeight="1" spans="1:22">
      <c r="A54" s="333">
        <v>13</v>
      </c>
      <c r="B54" s="334" t="s">
        <v>177</v>
      </c>
      <c r="C54" s="349" t="s">
        <v>223</v>
      </c>
      <c r="D54" s="336">
        <v>5</v>
      </c>
      <c r="E54" s="337">
        <v>5</v>
      </c>
      <c r="F54" s="338">
        <f t="shared" ref="F54:F71" si="35">SUM(G54:L54)</f>
        <v>48.881</v>
      </c>
      <c r="G54" s="339">
        <v>21.3408</v>
      </c>
      <c r="H54" s="339">
        <v>11.4828</v>
      </c>
      <c r="I54" s="339"/>
      <c r="J54" s="339">
        <v>1.0574</v>
      </c>
      <c r="K54" s="339"/>
      <c r="L54" s="339">
        <f t="shared" si="34"/>
        <v>15</v>
      </c>
      <c r="M54" s="339"/>
      <c r="N54" s="340">
        <f t="shared" si="30"/>
        <v>15.144807</v>
      </c>
      <c r="O54" s="340">
        <f t="shared" ref="O54:O67" si="36">(G54+H54+I54+J54)*0.16</f>
        <v>5.42096</v>
      </c>
      <c r="P54" s="340">
        <f t="shared" ref="P54:P67" si="37">(G54+H54+I54+J54)*0.08</f>
        <v>2.71048</v>
      </c>
      <c r="Q54" s="340">
        <f t="shared" ref="Q54:Q67" si="38">(G54+H54+I54+J54)*0.12</f>
        <v>4.06572</v>
      </c>
      <c r="R54" s="340">
        <f t="shared" si="33"/>
        <v>2.947647</v>
      </c>
      <c r="S54" s="341"/>
      <c r="T54" s="341"/>
      <c r="U54" s="338">
        <f t="shared" ref="U54:U71" si="39">F54+N54</f>
        <v>64.025807</v>
      </c>
      <c r="V54" s="342"/>
    </row>
    <row r="55" s="298" customFormat="1" ht="18" customHeight="1" spans="1:22">
      <c r="A55" s="333">
        <v>55</v>
      </c>
      <c r="B55" s="334" t="s">
        <v>177</v>
      </c>
      <c r="C55" s="348" t="s">
        <v>224</v>
      </c>
      <c r="D55" s="336">
        <v>14</v>
      </c>
      <c r="E55" s="336">
        <v>34</v>
      </c>
      <c r="F55" s="338">
        <f t="shared" si="35"/>
        <v>149.7941</v>
      </c>
      <c r="G55" s="339">
        <v>54.288</v>
      </c>
      <c r="H55" s="339">
        <v>26.604</v>
      </c>
      <c r="I55" s="339">
        <v>4.8008</v>
      </c>
      <c r="J55" s="339">
        <v>2.1013</v>
      </c>
      <c r="K55" s="339"/>
      <c r="L55" s="339">
        <f t="shared" si="34"/>
        <v>62</v>
      </c>
      <c r="M55" s="358"/>
      <c r="N55" s="340">
        <f t="shared" si="30"/>
        <v>40.4139627</v>
      </c>
      <c r="O55" s="340">
        <f t="shared" si="36"/>
        <v>14.047056</v>
      </c>
      <c r="P55" s="340">
        <f t="shared" si="37"/>
        <v>7.023528</v>
      </c>
      <c r="Q55" s="340">
        <f t="shared" si="38"/>
        <v>10.535292</v>
      </c>
      <c r="R55" s="340">
        <f t="shared" si="33"/>
        <v>7.6380867</v>
      </c>
      <c r="S55" s="341">
        <v>2</v>
      </c>
      <c r="T55" s="341">
        <v>1.17</v>
      </c>
      <c r="U55" s="338">
        <f t="shared" si="39"/>
        <v>190.2080627</v>
      </c>
      <c r="V55" s="342"/>
    </row>
    <row r="56" s="298" customFormat="1" ht="18" customHeight="1" spans="1:22">
      <c r="A56" s="333"/>
      <c r="B56" s="334"/>
      <c r="C56" s="349" t="s">
        <v>225</v>
      </c>
      <c r="D56" s="336"/>
      <c r="E56" s="336">
        <v>32</v>
      </c>
      <c r="F56" s="338">
        <f t="shared" si="35"/>
        <v>32</v>
      </c>
      <c r="G56" s="339"/>
      <c r="H56" s="339"/>
      <c r="I56" s="339"/>
      <c r="J56" s="339"/>
      <c r="K56" s="339"/>
      <c r="L56" s="339">
        <f t="shared" si="34"/>
        <v>32</v>
      </c>
      <c r="M56" s="339"/>
      <c r="N56" s="340">
        <f t="shared" si="30"/>
        <v>1.17</v>
      </c>
      <c r="O56" s="340"/>
      <c r="P56" s="340"/>
      <c r="Q56" s="340"/>
      <c r="R56" s="340">
        <f t="shared" si="33"/>
        <v>0</v>
      </c>
      <c r="S56" s="341">
        <v>2</v>
      </c>
      <c r="T56" s="341">
        <v>1.17</v>
      </c>
      <c r="U56" s="338">
        <f t="shared" si="39"/>
        <v>33.17</v>
      </c>
      <c r="V56" s="342"/>
    </row>
    <row r="57" s="298" customFormat="1" ht="18" customHeight="1" spans="1:22">
      <c r="A57" s="333"/>
      <c r="B57" s="334" t="s">
        <v>175</v>
      </c>
      <c r="C57" s="348" t="s">
        <v>226</v>
      </c>
      <c r="D57" s="336">
        <v>3</v>
      </c>
      <c r="E57" s="336"/>
      <c r="F57" s="338">
        <f t="shared" si="35"/>
        <v>23.1108</v>
      </c>
      <c r="G57" s="339">
        <v>10.1508</v>
      </c>
      <c r="H57" s="339">
        <v>4.872</v>
      </c>
      <c r="I57" s="339">
        <v>2.088</v>
      </c>
      <c r="J57" s="339"/>
      <c r="K57" s="339"/>
      <c r="L57" s="339">
        <f t="shared" si="34"/>
        <v>6</v>
      </c>
      <c r="M57" s="339"/>
      <c r="N57" s="340">
        <f t="shared" si="30"/>
        <v>7.6485276</v>
      </c>
      <c r="O57" s="340">
        <f t="shared" si="36"/>
        <v>2.737728</v>
      </c>
      <c r="P57" s="340">
        <f t="shared" si="37"/>
        <v>1.368864</v>
      </c>
      <c r="Q57" s="340">
        <f t="shared" si="38"/>
        <v>2.053296</v>
      </c>
      <c r="R57" s="340">
        <f t="shared" si="33"/>
        <v>1.4886396</v>
      </c>
      <c r="S57" s="341"/>
      <c r="T57" s="341"/>
      <c r="U57" s="338">
        <f t="shared" si="39"/>
        <v>30.7593276</v>
      </c>
      <c r="V57" s="342"/>
    </row>
    <row r="58" s="298" customFormat="1" ht="18" customHeight="1" spans="1:22">
      <c r="A58" s="333"/>
      <c r="B58" s="334" t="s">
        <v>175</v>
      </c>
      <c r="C58" s="348" t="s">
        <v>227</v>
      </c>
      <c r="D58" s="336">
        <v>3</v>
      </c>
      <c r="E58" s="336"/>
      <c r="F58" s="338">
        <f t="shared" si="35"/>
        <v>25.605</v>
      </c>
      <c r="G58" s="339">
        <v>11.9988</v>
      </c>
      <c r="H58" s="339">
        <v>6.66</v>
      </c>
      <c r="I58" s="339"/>
      <c r="J58" s="339">
        <v>0.9462</v>
      </c>
      <c r="K58" s="339"/>
      <c r="L58" s="339">
        <f t="shared" si="34"/>
        <v>6</v>
      </c>
      <c r="M58" s="339"/>
      <c r="N58" s="340">
        <f t="shared" si="30"/>
        <v>8.763435</v>
      </c>
      <c r="O58" s="340">
        <f t="shared" si="36"/>
        <v>3.1368</v>
      </c>
      <c r="P58" s="340">
        <f t="shared" si="37"/>
        <v>1.5684</v>
      </c>
      <c r="Q58" s="340">
        <f t="shared" si="38"/>
        <v>2.3526</v>
      </c>
      <c r="R58" s="340">
        <f t="shared" si="33"/>
        <v>1.705635</v>
      </c>
      <c r="S58" s="341"/>
      <c r="T58" s="341"/>
      <c r="U58" s="338">
        <f t="shared" si="39"/>
        <v>34.368435</v>
      </c>
      <c r="V58" s="342"/>
    </row>
    <row r="59" s="298" customFormat="1" ht="18" customHeight="1" spans="1:22">
      <c r="A59" s="333"/>
      <c r="B59" s="334" t="s">
        <v>177</v>
      </c>
      <c r="C59" s="296" t="s">
        <v>228</v>
      </c>
      <c r="D59" s="336">
        <v>6</v>
      </c>
      <c r="E59" s="336">
        <v>3</v>
      </c>
      <c r="F59" s="338">
        <f t="shared" si="35"/>
        <v>61.008</v>
      </c>
      <c r="G59" s="339">
        <v>29.064</v>
      </c>
      <c r="H59" s="339">
        <v>14.6124</v>
      </c>
      <c r="I59" s="339"/>
      <c r="J59" s="339">
        <v>2.3316</v>
      </c>
      <c r="K59" s="339"/>
      <c r="L59" s="339">
        <f t="shared" si="34"/>
        <v>15</v>
      </c>
      <c r="M59" s="339"/>
      <c r="N59" s="340">
        <f t="shared" ref="N59:N67" si="40">O59+P59+T59+R59+Q59</f>
        <v>20.565576</v>
      </c>
      <c r="O59" s="340">
        <f t="shared" si="36"/>
        <v>7.36128</v>
      </c>
      <c r="P59" s="340">
        <f t="shared" si="37"/>
        <v>3.68064</v>
      </c>
      <c r="Q59" s="340">
        <f t="shared" si="38"/>
        <v>5.52096</v>
      </c>
      <c r="R59" s="340">
        <f t="shared" si="33"/>
        <v>4.002696</v>
      </c>
      <c r="S59" s="341"/>
      <c r="T59" s="341"/>
      <c r="U59" s="338">
        <f t="shared" si="39"/>
        <v>81.573576</v>
      </c>
      <c r="V59" s="342"/>
    </row>
    <row r="60" s="299" customFormat="1" ht="18" customHeight="1" spans="1:22">
      <c r="A60" s="344"/>
      <c r="B60" s="345"/>
      <c r="C60" s="296" t="s">
        <v>229</v>
      </c>
      <c r="D60" s="336">
        <f>SUM(D61:D63)</f>
        <v>18</v>
      </c>
      <c r="E60" s="336">
        <f>SUM(E61:E63)</f>
        <v>9</v>
      </c>
      <c r="F60" s="338">
        <f t="shared" si="35"/>
        <v>163.02237</v>
      </c>
      <c r="G60" s="359">
        <f t="shared" ref="G60:L60" si="41">SUM(G61:G63)</f>
        <v>71.4096</v>
      </c>
      <c r="H60" s="359">
        <f t="shared" si="41"/>
        <v>38.7864</v>
      </c>
      <c r="I60" s="359">
        <f t="shared" si="41"/>
        <v>2.68457</v>
      </c>
      <c r="J60" s="359">
        <f t="shared" si="41"/>
        <v>5.1418</v>
      </c>
      <c r="K60" s="359">
        <f t="shared" si="41"/>
        <v>0</v>
      </c>
      <c r="L60" s="359">
        <f t="shared" si="41"/>
        <v>45</v>
      </c>
      <c r="M60" s="339"/>
      <c r="N60" s="360">
        <f t="shared" si="40"/>
        <v>54.26799939</v>
      </c>
      <c r="O60" s="340">
        <f t="shared" si="36"/>
        <v>18.8835792</v>
      </c>
      <c r="P60" s="340">
        <f t="shared" si="37"/>
        <v>9.4417896</v>
      </c>
      <c r="Q60" s="340">
        <f t="shared" si="38"/>
        <v>14.1626844</v>
      </c>
      <c r="R60" s="340">
        <f t="shared" si="33"/>
        <v>10.26794619</v>
      </c>
      <c r="S60" s="360">
        <f>SUM(S61:S63)</f>
        <v>2</v>
      </c>
      <c r="T60" s="360">
        <f>SUM(T61:T62)</f>
        <v>1.512</v>
      </c>
      <c r="U60" s="338">
        <f t="shared" si="39"/>
        <v>217.29036939</v>
      </c>
      <c r="V60" s="347"/>
    </row>
    <row r="61" s="298" customFormat="1" ht="18" customHeight="1" spans="1:22">
      <c r="A61" s="333">
        <v>39</v>
      </c>
      <c r="B61" s="334" t="s">
        <v>177</v>
      </c>
      <c r="C61" s="349" t="s">
        <v>230</v>
      </c>
      <c r="D61" s="336">
        <v>6</v>
      </c>
      <c r="E61" s="343">
        <v>2</v>
      </c>
      <c r="F61" s="338">
        <f t="shared" si="35"/>
        <v>53.74627</v>
      </c>
      <c r="G61" s="359">
        <v>24.3804</v>
      </c>
      <c r="H61" s="359">
        <v>12.9864</v>
      </c>
      <c r="I61" s="359">
        <v>0.61457</v>
      </c>
      <c r="J61" s="359">
        <v>1.7649</v>
      </c>
      <c r="K61" s="339"/>
      <c r="L61" s="339">
        <f>D61*2+E61*1</f>
        <v>14</v>
      </c>
      <c r="M61" s="339"/>
      <c r="N61" s="340">
        <f t="shared" si="40"/>
        <v>17.76658269</v>
      </c>
      <c r="O61" s="340">
        <f t="shared" si="36"/>
        <v>6.3594032</v>
      </c>
      <c r="P61" s="340">
        <f t="shared" si="37"/>
        <v>3.1797016</v>
      </c>
      <c r="Q61" s="340">
        <f t="shared" si="38"/>
        <v>4.7695524</v>
      </c>
      <c r="R61" s="340">
        <f t="shared" si="33"/>
        <v>3.45792549</v>
      </c>
      <c r="S61" s="341"/>
      <c r="T61" s="341"/>
      <c r="U61" s="338">
        <f t="shared" si="39"/>
        <v>71.51285269</v>
      </c>
      <c r="V61" s="342"/>
    </row>
    <row r="62" s="298" customFormat="1" ht="18" customHeight="1" spans="1:22">
      <c r="A62" s="333"/>
      <c r="B62" s="334" t="s">
        <v>177</v>
      </c>
      <c r="C62" s="349" t="s">
        <v>231</v>
      </c>
      <c r="D62" s="336">
        <v>9</v>
      </c>
      <c r="E62" s="337">
        <v>7</v>
      </c>
      <c r="F62" s="338">
        <f t="shared" si="35"/>
        <v>85.4322</v>
      </c>
      <c r="G62" s="359">
        <v>36.69</v>
      </c>
      <c r="H62" s="359">
        <v>19.0116</v>
      </c>
      <c r="I62" s="361">
        <v>2.07</v>
      </c>
      <c r="J62" s="361">
        <v>2.6606</v>
      </c>
      <c r="K62" s="339"/>
      <c r="L62" s="339">
        <f>D62*2+E62*1</f>
        <v>25</v>
      </c>
      <c r="M62" s="339"/>
      <c r="N62" s="340">
        <f t="shared" si="40"/>
        <v>28.5251934</v>
      </c>
      <c r="O62" s="340">
        <f t="shared" si="36"/>
        <v>9.669152</v>
      </c>
      <c r="P62" s="340">
        <f t="shared" si="37"/>
        <v>4.834576</v>
      </c>
      <c r="Q62" s="340">
        <f t="shared" si="38"/>
        <v>7.251864</v>
      </c>
      <c r="R62" s="340">
        <f t="shared" si="33"/>
        <v>5.2576014</v>
      </c>
      <c r="S62" s="341">
        <v>2</v>
      </c>
      <c r="T62" s="341">
        <v>1.512</v>
      </c>
      <c r="U62" s="338">
        <f t="shared" si="39"/>
        <v>113.9573934</v>
      </c>
      <c r="V62" s="342"/>
    </row>
    <row r="63" s="298" customFormat="1" ht="18" customHeight="1" spans="1:22">
      <c r="A63" s="333">
        <v>40</v>
      </c>
      <c r="B63" s="334" t="s">
        <v>177</v>
      </c>
      <c r="C63" s="349" t="s">
        <v>232</v>
      </c>
      <c r="D63" s="336">
        <v>3</v>
      </c>
      <c r="E63" s="336"/>
      <c r="F63" s="338">
        <f t="shared" si="35"/>
        <v>23.8439</v>
      </c>
      <c r="G63" s="359">
        <v>10.3392</v>
      </c>
      <c r="H63" s="359">
        <v>6.7884</v>
      </c>
      <c r="I63" s="359"/>
      <c r="J63" s="359">
        <v>0.7163</v>
      </c>
      <c r="K63" s="339"/>
      <c r="L63" s="339">
        <f>D63*2+E63*1</f>
        <v>6</v>
      </c>
      <c r="M63" s="339"/>
      <c r="N63" s="340">
        <f t="shared" si="40"/>
        <v>7.9762233</v>
      </c>
      <c r="O63" s="340">
        <f t="shared" si="36"/>
        <v>2.855024</v>
      </c>
      <c r="P63" s="340">
        <f t="shared" si="37"/>
        <v>1.427512</v>
      </c>
      <c r="Q63" s="340">
        <f t="shared" si="38"/>
        <v>2.141268</v>
      </c>
      <c r="R63" s="340">
        <f t="shared" si="33"/>
        <v>1.5524193</v>
      </c>
      <c r="S63" s="341"/>
      <c r="T63" s="341"/>
      <c r="U63" s="338">
        <f t="shared" si="39"/>
        <v>31.8201233</v>
      </c>
      <c r="V63" s="342"/>
    </row>
    <row r="64" s="299" customFormat="1" ht="18" customHeight="1" spans="1:22">
      <c r="A64" s="344"/>
      <c r="B64" s="345"/>
      <c r="C64" s="362" t="s">
        <v>233</v>
      </c>
      <c r="D64" s="336">
        <f>SUM(D65,D68:D71)</f>
        <v>543</v>
      </c>
      <c r="E64" s="336">
        <f>SUM(E65,E68:E71)</f>
        <v>226</v>
      </c>
      <c r="F64" s="338">
        <f t="shared" si="35"/>
        <v>4710.9365</v>
      </c>
      <c r="G64" s="339">
        <f t="shared" ref="G64:M64" si="42">SUM(G65,G68:G71)</f>
        <v>2197.614</v>
      </c>
      <c r="H64" s="339">
        <f t="shared" si="42"/>
        <v>945.0948</v>
      </c>
      <c r="I64" s="339">
        <f t="shared" si="42"/>
        <v>28.4914</v>
      </c>
      <c r="J64" s="339">
        <f t="shared" si="42"/>
        <v>135.6343</v>
      </c>
      <c r="K64" s="339">
        <f t="shared" si="42"/>
        <v>92.102</v>
      </c>
      <c r="L64" s="339">
        <f t="shared" si="42"/>
        <v>1312</v>
      </c>
      <c r="M64" s="339">
        <f t="shared" si="42"/>
        <v>3.6</v>
      </c>
      <c r="N64" s="340">
        <f t="shared" si="40"/>
        <v>1489.9006215</v>
      </c>
      <c r="O64" s="340">
        <f t="shared" si="36"/>
        <v>529.09352</v>
      </c>
      <c r="P64" s="340">
        <f t="shared" si="37"/>
        <v>264.54676</v>
      </c>
      <c r="Q64" s="340">
        <f t="shared" si="38"/>
        <v>396.82014</v>
      </c>
      <c r="R64" s="340">
        <f>SUM(R65,R68:R71)</f>
        <v>287.6946015</v>
      </c>
      <c r="S64" s="341">
        <f>SUM(S65,S68:S71)</f>
        <v>18</v>
      </c>
      <c r="T64" s="341">
        <f>SUM(T65,T68:T71)</f>
        <v>11.7456</v>
      </c>
      <c r="U64" s="338">
        <f t="shared" si="39"/>
        <v>6200.8371215</v>
      </c>
      <c r="V64" s="347"/>
    </row>
    <row r="65" s="299" customFormat="1" ht="18" customHeight="1" spans="1:22">
      <c r="A65" s="344"/>
      <c r="B65" s="345"/>
      <c r="C65" s="296" t="s">
        <v>234</v>
      </c>
      <c r="D65" s="336">
        <f>SUM(D66:D67)</f>
        <v>331</v>
      </c>
      <c r="E65" s="336">
        <f>SUM(E66:E67)</f>
        <v>133</v>
      </c>
      <c r="F65" s="338">
        <f t="shared" si="35"/>
        <v>3550.7139</v>
      </c>
      <c r="G65" s="359">
        <f t="shared" ref="G65:L65" si="43">SUM(G66:G67)</f>
        <v>1787.55</v>
      </c>
      <c r="H65" s="359">
        <f t="shared" si="43"/>
        <v>777.2964</v>
      </c>
      <c r="I65" s="359">
        <f t="shared" si="43"/>
        <v>11.484</v>
      </c>
      <c r="J65" s="359">
        <f t="shared" si="43"/>
        <v>114.8475</v>
      </c>
      <c r="K65" s="359">
        <f t="shared" si="43"/>
        <v>64.536</v>
      </c>
      <c r="L65" s="359">
        <f t="shared" si="43"/>
        <v>795</v>
      </c>
      <c r="M65" s="339"/>
      <c r="N65" s="360">
        <f t="shared" si="40"/>
        <v>1210.8561213</v>
      </c>
      <c r="O65" s="360">
        <f t="shared" si="36"/>
        <v>430.588464</v>
      </c>
      <c r="P65" s="360">
        <f t="shared" si="37"/>
        <v>215.294232</v>
      </c>
      <c r="Q65" s="360">
        <f t="shared" si="38"/>
        <v>322.941348</v>
      </c>
      <c r="R65" s="360">
        <f>(G65+H65+I65+J65)*0.087</f>
        <v>234.1324773</v>
      </c>
      <c r="S65" s="360">
        <f>SUM(S66:S67)</f>
        <v>13</v>
      </c>
      <c r="T65" s="360">
        <f>SUM(T66:T67)</f>
        <v>7.8996</v>
      </c>
      <c r="U65" s="338">
        <f t="shared" si="39"/>
        <v>4761.5700213</v>
      </c>
      <c r="V65" s="347"/>
    </row>
    <row r="66" s="298" customFormat="1" ht="18" customHeight="1" spans="1:22">
      <c r="A66" s="333">
        <v>41</v>
      </c>
      <c r="B66" s="334" t="s">
        <v>235</v>
      </c>
      <c r="C66" s="349" t="s">
        <v>236</v>
      </c>
      <c r="D66" s="336">
        <v>295</v>
      </c>
      <c r="E66" s="343">
        <v>119</v>
      </c>
      <c r="F66" s="338">
        <f t="shared" si="35"/>
        <v>3123.527</v>
      </c>
      <c r="G66" s="339">
        <v>1555.4556</v>
      </c>
      <c r="H66" s="339">
        <v>688.386</v>
      </c>
      <c r="I66" s="339">
        <v>11.484</v>
      </c>
      <c r="J66" s="339">
        <v>94.6654</v>
      </c>
      <c r="K66" s="339">
        <v>64.536</v>
      </c>
      <c r="L66" s="339">
        <f t="shared" ref="L66:L71" si="44">D66*2+E66*1</f>
        <v>709</v>
      </c>
      <c r="M66" s="339"/>
      <c r="N66" s="340">
        <f t="shared" si="40"/>
        <v>1057.265577</v>
      </c>
      <c r="O66" s="340">
        <f t="shared" si="36"/>
        <v>375.99856</v>
      </c>
      <c r="P66" s="340">
        <f t="shared" si="37"/>
        <v>187.99928</v>
      </c>
      <c r="Q66" s="340">
        <f t="shared" si="38"/>
        <v>281.99892</v>
      </c>
      <c r="R66" s="340">
        <f>(G66+H66+I66+J66)*0.087</f>
        <v>204.449217</v>
      </c>
      <c r="S66" s="341">
        <v>12</v>
      </c>
      <c r="T66" s="341">
        <v>6.8196</v>
      </c>
      <c r="U66" s="338">
        <f t="shared" si="39"/>
        <v>4180.792577</v>
      </c>
      <c r="V66" s="342"/>
    </row>
    <row r="67" s="298" customFormat="1" ht="18" customHeight="1" spans="1:22">
      <c r="A67" s="333">
        <v>46</v>
      </c>
      <c r="B67" s="334" t="s">
        <v>235</v>
      </c>
      <c r="C67" s="349" t="s">
        <v>237</v>
      </c>
      <c r="D67" s="336">
        <v>36</v>
      </c>
      <c r="E67" s="343">
        <v>14</v>
      </c>
      <c r="F67" s="338">
        <f t="shared" si="35"/>
        <v>427.1869</v>
      </c>
      <c r="G67" s="339">
        <v>232.0944</v>
      </c>
      <c r="H67" s="339">
        <v>88.9104</v>
      </c>
      <c r="I67" s="339"/>
      <c r="J67" s="339">
        <v>20.1821</v>
      </c>
      <c r="K67" s="358"/>
      <c r="L67" s="339">
        <f t="shared" si="44"/>
        <v>86</v>
      </c>
      <c r="M67" s="339"/>
      <c r="N67" s="340">
        <f t="shared" si="40"/>
        <v>153.5905443</v>
      </c>
      <c r="O67" s="340">
        <f t="shared" si="36"/>
        <v>54.589904</v>
      </c>
      <c r="P67" s="340">
        <f t="shared" si="37"/>
        <v>27.294952</v>
      </c>
      <c r="Q67" s="340">
        <f t="shared" si="38"/>
        <v>40.942428</v>
      </c>
      <c r="R67" s="340">
        <f>(G67+H67+I67+J67)*0.087</f>
        <v>29.6832603</v>
      </c>
      <c r="S67" s="341">
        <v>1</v>
      </c>
      <c r="T67" s="341">
        <v>1.08</v>
      </c>
      <c r="U67" s="338">
        <f t="shared" si="39"/>
        <v>580.7774443</v>
      </c>
      <c r="V67" s="342"/>
    </row>
    <row r="68" s="298" customFormat="1" ht="18" customHeight="1" spans="1:22">
      <c r="A68" s="333"/>
      <c r="B68" s="334"/>
      <c r="C68" s="296" t="s">
        <v>238</v>
      </c>
      <c r="D68" s="337">
        <v>44</v>
      </c>
      <c r="E68" s="337">
        <v>26</v>
      </c>
      <c r="F68" s="338">
        <f t="shared" si="35"/>
        <v>114</v>
      </c>
      <c r="G68" s="339"/>
      <c r="H68" s="339"/>
      <c r="I68" s="339"/>
      <c r="J68" s="339"/>
      <c r="K68" s="358"/>
      <c r="L68" s="339">
        <f t="shared" si="44"/>
        <v>114</v>
      </c>
      <c r="M68" s="339"/>
      <c r="N68" s="340"/>
      <c r="O68" s="340"/>
      <c r="P68" s="340"/>
      <c r="Q68" s="340"/>
      <c r="R68" s="340"/>
      <c r="S68" s="341"/>
      <c r="T68" s="341"/>
      <c r="U68" s="338">
        <f t="shared" si="39"/>
        <v>114</v>
      </c>
      <c r="V68" s="342"/>
    </row>
    <row r="69" s="298" customFormat="1" ht="18" customHeight="1" spans="1:22">
      <c r="A69" s="333"/>
      <c r="B69" s="334"/>
      <c r="C69" s="296" t="s">
        <v>239</v>
      </c>
      <c r="D69" s="337">
        <v>86</v>
      </c>
      <c r="E69" s="337">
        <v>44</v>
      </c>
      <c r="F69" s="338">
        <f t="shared" si="35"/>
        <v>216</v>
      </c>
      <c r="G69" s="339"/>
      <c r="H69" s="339"/>
      <c r="I69" s="339"/>
      <c r="J69" s="339"/>
      <c r="K69" s="358"/>
      <c r="L69" s="339">
        <f t="shared" si="44"/>
        <v>216</v>
      </c>
      <c r="M69" s="339"/>
      <c r="N69" s="340"/>
      <c r="O69" s="340"/>
      <c r="P69" s="340"/>
      <c r="Q69" s="340"/>
      <c r="R69" s="340"/>
      <c r="S69" s="341"/>
      <c r="T69" s="341"/>
      <c r="U69" s="338">
        <f t="shared" si="39"/>
        <v>216</v>
      </c>
      <c r="V69" s="342"/>
    </row>
    <row r="70" s="298" customFormat="1" ht="18" customHeight="1" spans="1:22">
      <c r="A70" s="333"/>
      <c r="B70" s="334" t="s">
        <v>170</v>
      </c>
      <c r="C70" s="296" t="s">
        <v>240</v>
      </c>
      <c r="D70" s="336">
        <v>77</v>
      </c>
      <c r="E70" s="337">
        <v>23</v>
      </c>
      <c r="F70" s="338">
        <f t="shared" si="35"/>
        <v>789.8112</v>
      </c>
      <c r="G70" s="339">
        <v>391.044</v>
      </c>
      <c r="H70" s="339">
        <v>159.8244</v>
      </c>
      <c r="I70" s="339">
        <v>13.59</v>
      </c>
      <c r="J70" s="339">
        <v>20.7868</v>
      </c>
      <c r="K70" s="339">
        <v>27.566</v>
      </c>
      <c r="L70" s="339">
        <f t="shared" si="44"/>
        <v>177</v>
      </c>
      <c r="M70" s="339">
        <v>3.6</v>
      </c>
      <c r="N70" s="340">
        <f>O70+P70+T70+R70+Q70</f>
        <v>265.4506044</v>
      </c>
      <c r="O70" s="340">
        <f>(G70+H70+I70+J70)*0.16</f>
        <v>93.639232</v>
      </c>
      <c r="P70" s="340">
        <f>(G70+H70+I70+J70)*0.08</f>
        <v>46.819616</v>
      </c>
      <c r="Q70" s="340">
        <f>(G70+H70+I70+J70)*0.12</f>
        <v>70.229424</v>
      </c>
      <c r="R70" s="340">
        <f>(G70+H70+I70+J70)*0.087</f>
        <v>50.9163324</v>
      </c>
      <c r="S70" s="341">
        <v>5</v>
      </c>
      <c r="T70" s="341">
        <v>3.846</v>
      </c>
      <c r="U70" s="338">
        <f t="shared" si="39"/>
        <v>1055.2618044</v>
      </c>
      <c r="V70" s="342"/>
    </row>
    <row r="71" s="298" customFormat="1" ht="18" customHeight="1" spans="1:22">
      <c r="A71" s="333"/>
      <c r="B71" s="334" t="s">
        <v>175</v>
      </c>
      <c r="C71" s="296" t="s">
        <v>241</v>
      </c>
      <c r="D71" s="336">
        <v>5</v>
      </c>
      <c r="E71" s="336"/>
      <c r="F71" s="338">
        <f t="shared" si="35"/>
        <v>40.4114</v>
      </c>
      <c r="G71" s="339">
        <v>19.02</v>
      </c>
      <c r="H71" s="339">
        <v>7.974</v>
      </c>
      <c r="I71" s="339">
        <v>3.4174</v>
      </c>
      <c r="J71" s="339"/>
      <c r="K71" s="339"/>
      <c r="L71" s="339">
        <f t="shared" si="44"/>
        <v>10</v>
      </c>
      <c r="M71" s="339"/>
      <c r="N71" s="340">
        <f>O71+P71+T71+R71+Q71</f>
        <v>13.5938958</v>
      </c>
      <c r="O71" s="340">
        <f>(G71+H71+I71+J71)*0.16</f>
        <v>4.865824</v>
      </c>
      <c r="P71" s="340">
        <f>(G71+H71+I71+J71)*0.08</f>
        <v>2.432912</v>
      </c>
      <c r="Q71" s="340">
        <f>(G71+H71+I71+J71)*0.12</f>
        <v>3.649368</v>
      </c>
      <c r="R71" s="340">
        <f>(G71+H71+I71+J71)*0.087</f>
        <v>2.6457918</v>
      </c>
      <c r="S71" s="341"/>
      <c r="T71" s="341"/>
      <c r="U71" s="338">
        <f t="shared" si="39"/>
        <v>54.0052958</v>
      </c>
      <c r="V71" s="342"/>
    </row>
    <row r="72" s="299" customFormat="1" ht="18" customHeight="1" spans="1:22">
      <c r="A72" s="344"/>
      <c r="B72" s="334"/>
      <c r="C72" s="362" t="s">
        <v>242</v>
      </c>
      <c r="D72" s="336">
        <f>SUM(D73:D74,D81:D83)</f>
        <v>4574</v>
      </c>
      <c r="E72" s="336">
        <f>SUM(E73:E74,E81:E83)</f>
        <v>2666</v>
      </c>
      <c r="F72" s="338">
        <f t="shared" ref="F72:F98" si="45">SUM(G72:L72)</f>
        <v>47647.36327</v>
      </c>
      <c r="G72" s="339">
        <f t="shared" ref="G72:M72" si="46">SUM(G73:G74,G81:G83)</f>
        <v>22481.3667</v>
      </c>
      <c r="H72" s="339">
        <f t="shared" si="46"/>
        <v>8273.6652</v>
      </c>
      <c r="I72" s="339">
        <f t="shared" si="46"/>
        <v>3533.02127</v>
      </c>
      <c r="J72" s="339">
        <f t="shared" si="46"/>
        <v>6.3101</v>
      </c>
      <c r="K72" s="339">
        <v>1539</v>
      </c>
      <c r="L72" s="339">
        <f t="shared" si="46"/>
        <v>11814</v>
      </c>
      <c r="M72" s="339">
        <f t="shared" si="46"/>
        <v>214.8</v>
      </c>
      <c r="N72" s="340">
        <f t="shared" ref="N72:N92" si="47">O72+P72+T72+R72+Q72</f>
        <v>15703.66358169</v>
      </c>
      <c r="O72" s="340">
        <f t="shared" ref="O72:O86" si="48">(G72+H72+I72+J72)*0.16</f>
        <v>5487.0981232</v>
      </c>
      <c r="P72" s="340">
        <f t="shared" ref="P72:P86" si="49">(G72+H72+I72+J72)*0.08</f>
        <v>2743.5490616</v>
      </c>
      <c r="Q72" s="340">
        <f t="shared" ref="Q72:Q86" si="50">(G72+H72+I72+J72)*0.12</f>
        <v>4115.3235924</v>
      </c>
      <c r="R72" s="340">
        <f t="shared" ref="R72:R103" si="51">(G72+H72+I72+J72)*0.087</f>
        <v>2983.60960449</v>
      </c>
      <c r="S72" s="341">
        <f>SUM(S73:S74,S81:S83)</f>
        <v>504</v>
      </c>
      <c r="T72" s="341">
        <f>SUM(T73:T74,T81:T83)</f>
        <v>374.0832</v>
      </c>
      <c r="U72" s="338">
        <f t="shared" ref="U72:U98" si="52">F72+N72</f>
        <v>63351.02685169</v>
      </c>
      <c r="V72" s="347"/>
    </row>
    <row r="73" s="299" customFormat="1" ht="18" customHeight="1" spans="1:22">
      <c r="A73" s="344"/>
      <c r="B73" s="345" t="s">
        <v>170</v>
      </c>
      <c r="C73" s="296" t="s">
        <v>243</v>
      </c>
      <c r="D73" s="336">
        <v>75</v>
      </c>
      <c r="E73" s="336">
        <v>55</v>
      </c>
      <c r="F73" s="363">
        <f t="shared" si="45"/>
        <v>842.3188</v>
      </c>
      <c r="G73" s="265">
        <v>427.5516</v>
      </c>
      <c r="H73" s="265">
        <v>151.4472</v>
      </c>
      <c r="I73" s="265">
        <v>54.018</v>
      </c>
      <c r="J73" s="265">
        <v>4.302</v>
      </c>
      <c r="K73" s="265"/>
      <c r="L73" s="339">
        <f>D73*2+E73*1</f>
        <v>205</v>
      </c>
      <c r="M73" s="265"/>
      <c r="N73" s="364">
        <f t="shared" si="47"/>
        <v>286.6455036</v>
      </c>
      <c r="O73" s="364">
        <f t="shared" si="48"/>
        <v>101.971008</v>
      </c>
      <c r="P73" s="364">
        <f t="shared" si="49"/>
        <v>50.985504</v>
      </c>
      <c r="Q73" s="364">
        <f t="shared" si="50"/>
        <v>76.478256</v>
      </c>
      <c r="R73" s="340">
        <f t="shared" si="51"/>
        <v>55.4467356</v>
      </c>
      <c r="S73" s="365">
        <v>3</v>
      </c>
      <c r="T73" s="366">
        <v>1.764</v>
      </c>
      <c r="U73" s="363">
        <f t="shared" si="52"/>
        <v>1128.9643036</v>
      </c>
      <c r="V73" s="347"/>
    </row>
    <row r="74" s="299" customFormat="1" ht="18" customHeight="1" spans="1:22">
      <c r="A74" s="344"/>
      <c r="B74" s="345" t="s">
        <v>175</v>
      </c>
      <c r="C74" s="296" t="s">
        <v>244</v>
      </c>
      <c r="D74" s="336">
        <f>SUM(D75:D80)</f>
        <v>3810</v>
      </c>
      <c r="E74" s="336">
        <f>SUM(E75:E80)</f>
        <v>2405</v>
      </c>
      <c r="F74" s="338">
        <f t="shared" si="45"/>
        <v>38145.1746</v>
      </c>
      <c r="G74" s="339">
        <f t="shared" ref="G74:M74" si="53">SUM(G75:G80)</f>
        <v>18350.4228</v>
      </c>
      <c r="H74" s="339">
        <f t="shared" si="53"/>
        <v>6837.12</v>
      </c>
      <c r="I74" s="339">
        <f t="shared" si="53"/>
        <v>2932.6318</v>
      </c>
      <c r="J74" s="339">
        <f t="shared" si="53"/>
        <v>0</v>
      </c>
      <c r="K74" s="339">
        <f t="shared" si="53"/>
        <v>0</v>
      </c>
      <c r="L74" s="339">
        <f t="shared" si="53"/>
        <v>10025</v>
      </c>
      <c r="M74" s="339">
        <f t="shared" si="53"/>
        <v>117.6</v>
      </c>
      <c r="N74" s="340">
        <f t="shared" si="47"/>
        <v>12914.8872462</v>
      </c>
      <c r="O74" s="340">
        <f t="shared" si="48"/>
        <v>4499.227936</v>
      </c>
      <c r="P74" s="340">
        <f t="shared" si="49"/>
        <v>2249.613968</v>
      </c>
      <c r="Q74" s="340">
        <f t="shared" si="50"/>
        <v>3374.420952</v>
      </c>
      <c r="R74" s="340">
        <f t="shared" si="51"/>
        <v>2446.4551902</v>
      </c>
      <c r="S74" s="341">
        <f>SUM(S75:S80)</f>
        <v>461</v>
      </c>
      <c r="T74" s="341">
        <f>SUM(T75:T80)</f>
        <v>345.1692</v>
      </c>
      <c r="U74" s="338">
        <f t="shared" si="52"/>
        <v>51060.0618462</v>
      </c>
      <c r="V74" s="347"/>
    </row>
    <row r="75" s="299" customFormat="1" ht="18" customHeight="1" spans="1:22">
      <c r="A75" s="344">
        <v>107</v>
      </c>
      <c r="B75" s="345"/>
      <c r="C75" s="349" t="s">
        <v>245</v>
      </c>
      <c r="D75" s="336">
        <v>44</v>
      </c>
      <c r="E75" s="336">
        <v>1</v>
      </c>
      <c r="F75" s="338">
        <f t="shared" si="45"/>
        <v>367.7792</v>
      </c>
      <c r="G75" s="339">
        <v>171.2916</v>
      </c>
      <c r="H75" s="339">
        <v>75.228</v>
      </c>
      <c r="I75" s="339">
        <v>32.2596</v>
      </c>
      <c r="J75" s="339"/>
      <c r="K75" s="339"/>
      <c r="L75" s="339">
        <f t="shared" ref="L75:L82" si="54">D75*2+E75*1</f>
        <v>89</v>
      </c>
      <c r="M75" s="339"/>
      <c r="N75" s="340">
        <f t="shared" si="47"/>
        <v>124.6143024</v>
      </c>
      <c r="O75" s="340">
        <f t="shared" si="48"/>
        <v>44.604672</v>
      </c>
      <c r="P75" s="340">
        <f t="shared" si="49"/>
        <v>22.302336</v>
      </c>
      <c r="Q75" s="340">
        <f t="shared" si="50"/>
        <v>33.453504</v>
      </c>
      <c r="R75" s="340">
        <f t="shared" si="51"/>
        <v>24.2537904</v>
      </c>
      <c r="S75" s="341"/>
      <c r="T75" s="341"/>
      <c r="U75" s="338">
        <f t="shared" si="52"/>
        <v>492.3935024</v>
      </c>
      <c r="V75" s="347"/>
    </row>
    <row r="76" s="299" customFormat="1" ht="18" customHeight="1" spans="1:22">
      <c r="A76" s="344"/>
      <c r="B76" s="345"/>
      <c r="C76" s="349" t="s">
        <v>246</v>
      </c>
      <c r="D76" s="343">
        <v>2064</v>
      </c>
      <c r="E76" s="336">
        <v>1536</v>
      </c>
      <c r="F76" s="338">
        <f t="shared" si="45"/>
        <v>20683.6044</v>
      </c>
      <c r="G76" s="367">
        <v>9719.742</v>
      </c>
      <c r="H76" s="367">
        <v>3709.002</v>
      </c>
      <c r="I76" s="367">
        <v>1590.8604</v>
      </c>
      <c r="J76" s="367"/>
      <c r="K76" s="339"/>
      <c r="L76" s="339">
        <f t="shared" si="54"/>
        <v>5664</v>
      </c>
      <c r="M76" s="339">
        <v>46.8</v>
      </c>
      <c r="N76" s="340">
        <f t="shared" si="47"/>
        <v>6929.4463668</v>
      </c>
      <c r="O76" s="340">
        <f t="shared" si="48"/>
        <v>2403.136704</v>
      </c>
      <c r="P76" s="340">
        <f t="shared" si="49"/>
        <v>1201.568352</v>
      </c>
      <c r="Q76" s="340">
        <f t="shared" si="50"/>
        <v>1802.352528</v>
      </c>
      <c r="R76" s="340">
        <f t="shared" si="51"/>
        <v>1306.7055828</v>
      </c>
      <c r="S76" s="341">
        <v>285</v>
      </c>
      <c r="T76" s="341">
        <v>215.6832</v>
      </c>
      <c r="U76" s="338">
        <f t="shared" si="52"/>
        <v>27613.0507668</v>
      </c>
      <c r="V76" s="347"/>
    </row>
    <row r="77" s="299" customFormat="1" ht="18" customHeight="1" spans="1:22">
      <c r="A77" s="344"/>
      <c r="B77" s="345"/>
      <c r="C77" s="349" t="s">
        <v>247</v>
      </c>
      <c r="D77" s="343">
        <v>1447</v>
      </c>
      <c r="E77" s="336">
        <v>856</v>
      </c>
      <c r="F77" s="338">
        <f t="shared" si="45"/>
        <v>14597.8212</v>
      </c>
      <c r="G77" s="339">
        <v>7162.32</v>
      </c>
      <c r="H77" s="339">
        <v>2579.178</v>
      </c>
      <c r="I77" s="339">
        <v>1106.3232</v>
      </c>
      <c r="J77" s="339"/>
      <c r="K77" s="339"/>
      <c r="L77" s="339">
        <f t="shared" si="54"/>
        <v>3750</v>
      </c>
      <c r="M77" s="339">
        <v>70.8</v>
      </c>
      <c r="N77" s="340">
        <f t="shared" si="47"/>
        <v>4976.9500764</v>
      </c>
      <c r="O77" s="340">
        <f t="shared" si="48"/>
        <v>1735.651392</v>
      </c>
      <c r="P77" s="340">
        <f t="shared" si="49"/>
        <v>867.825696</v>
      </c>
      <c r="Q77" s="340">
        <f t="shared" si="50"/>
        <v>1301.738544</v>
      </c>
      <c r="R77" s="340">
        <f t="shared" si="51"/>
        <v>943.7604444</v>
      </c>
      <c r="S77" s="341">
        <v>174</v>
      </c>
      <c r="T77" s="341">
        <v>127.974</v>
      </c>
      <c r="U77" s="338">
        <f t="shared" si="52"/>
        <v>19574.7712764</v>
      </c>
      <c r="V77" s="347"/>
    </row>
    <row r="78" s="299" customFormat="1" ht="18" customHeight="1" spans="1:22">
      <c r="A78" s="344"/>
      <c r="B78" s="345"/>
      <c r="C78" s="349" t="s">
        <v>248</v>
      </c>
      <c r="D78" s="336">
        <v>17</v>
      </c>
      <c r="E78" s="336">
        <v>3</v>
      </c>
      <c r="F78" s="338">
        <f t="shared" si="45"/>
        <v>168.5548</v>
      </c>
      <c r="G78" s="339">
        <v>86.2704</v>
      </c>
      <c r="H78" s="339">
        <v>31.692</v>
      </c>
      <c r="I78" s="339">
        <v>13.5924</v>
      </c>
      <c r="J78" s="339"/>
      <c r="K78" s="339"/>
      <c r="L78" s="339">
        <f t="shared" si="54"/>
        <v>37</v>
      </c>
      <c r="M78" s="339"/>
      <c r="N78" s="340">
        <f t="shared" si="47"/>
        <v>58.8049956</v>
      </c>
      <c r="O78" s="340">
        <f t="shared" si="48"/>
        <v>21.048768</v>
      </c>
      <c r="P78" s="340">
        <f t="shared" si="49"/>
        <v>10.524384</v>
      </c>
      <c r="Q78" s="340">
        <f t="shared" si="50"/>
        <v>15.786576</v>
      </c>
      <c r="R78" s="340">
        <f t="shared" si="51"/>
        <v>11.4452676</v>
      </c>
      <c r="S78" s="341"/>
      <c r="T78" s="341"/>
      <c r="U78" s="338">
        <f t="shared" si="52"/>
        <v>227.3597956</v>
      </c>
      <c r="V78" s="347"/>
    </row>
    <row r="79" s="299" customFormat="1" ht="18" customHeight="1" spans="1:22">
      <c r="A79" s="344"/>
      <c r="B79" s="345"/>
      <c r="C79" s="349" t="s">
        <v>249</v>
      </c>
      <c r="D79" s="336">
        <v>220</v>
      </c>
      <c r="E79" s="336"/>
      <c r="F79" s="338">
        <f t="shared" si="45"/>
        <v>2154.32</v>
      </c>
      <c r="G79" s="339">
        <v>1129.3152</v>
      </c>
      <c r="H79" s="339">
        <v>409.392</v>
      </c>
      <c r="I79" s="339">
        <v>175.6128</v>
      </c>
      <c r="J79" s="339"/>
      <c r="K79" s="339"/>
      <c r="L79" s="339">
        <f t="shared" si="54"/>
        <v>440</v>
      </c>
      <c r="M79" s="339"/>
      <c r="N79" s="340">
        <f t="shared" si="47"/>
        <v>767.81304</v>
      </c>
      <c r="O79" s="340">
        <f t="shared" si="48"/>
        <v>274.2912</v>
      </c>
      <c r="P79" s="340">
        <f t="shared" si="49"/>
        <v>137.1456</v>
      </c>
      <c r="Q79" s="340">
        <f t="shared" si="50"/>
        <v>205.7184</v>
      </c>
      <c r="R79" s="340">
        <f t="shared" si="51"/>
        <v>149.14584</v>
      </c>
      <c r="S79" s="341">
        <v>2</v>
      </c>
      <c r="T79" s="341">
        <v>1.512</v>
      </c>
      <c r="U79" s="338">
        <f t="shared" si="52"/>
        <v>2922.13304</v>
      </c>
      <c r="V79" s="347"/>
    </row>
    <row r="80" s="298" customFormat="1" ht="18" customHeight="1" spans="1:22">
      <c r="A80" s="333">
        <v>108</v>
      </c>
      <c r="B80" s="334"/>
      <c r="C80" s="348" t="s">
        <v>250</v>
      </c>
      <c r="D80" s="336">
        <v>18</v>
      </c>
      <c r="E80" s="336">
        <v>9</v>
      </c>
      <c r="F80" s="338">
        <f t="shared" si="45"/>
        <v>173.095</v>
      </c>
      <c r="G80" s="339">
        <v>81.4836</v>
      </c>
      <c r="H80" s="339">
        <v>32.628</v>
      </c>
      <c r="I80" s="339">
        <v>13.9834</v>
      </c>
      <c r="J80" s="339"/>
      <c r="K80" s="339"/>
      <c r="L80" s="339">
        <f t="shared" si="54"/>
        <v>45</v>
      </c>
      <c r="M80" s="339"/>
      <c r="N80" s="340">
        <f t="shared" si="47"/>
        <v>57.258465</v>
      </c>
      <c r="O80" s="340">
        <f t="shared" si="48"/>
        <v>20.4952</v>
      </c>
      <c r="P80" s="340">
        <f t="shared" si="49"/>
        <v>10.2476</v>
      </c>
      <c r="Q80" s="340">
        <f t="shared" si="50"/>
        <v>15.3714</v>
      </c>
      <c r="R80" s="340">
        <f t="shared" si="51"/>
        <v>11.144265</v>
      </c>
      <c r="S80" s="341"/>
      <c r="T80" s="341"/>
      <c r="U80" s="338">
        <f t="shared" si="52"/>
        <v>230.353465</v>
      </c>
      <c r="V80" s="342"/>
    </row>
    <row r="81" s="299" customFormat="1" ht="18" customHeight="1" spans="1:22">
      <c r="A81" s="344"/>
      <c r="B81" s="345" t="s">
        <v>175</v>
      </c>
      <c r="C81" s="368" t="s">
        <v>251</v>
      </c>
      <c r="D81" s="336">
        <v>509</v>
      </c>
      <c r="E81" s="336">
        <v>131</v>
      </c>
      <c r="F81" s="338">
        <f t="shared" si="45"/>
        <v>5278.6791</v>
      </c>
      <c r="G81" s="339">
        <v>2769.3759</v>
      </c>
      <c r="H81" s="339">
        <v>951.966</v>
      </c>
      <c r="I81" s="339">
        <v>408.3372</v>
      </c>
      <c r="J81" s="339"/>
      <c r="K81" s="339"/>
      <c r="L81" s="339">
        <f t="shared" si="54"/>
        <v>1149</v>
      </c>
      <c r="M81" s="339">
        <v>88.8</v>
      </c>
      <c r="N81" s="340">
        <f t="shared" si="47"/>
        <v>1865.8925577</v>
      </c>
      <c r="O81" s="340">
        <f t="shared" si="48"/>
        <v>660.748656</v>
      </c>
      <c r="P81" s="340">
        <f t="shared" si="49"/>
        <v>330.374328</v>
      </c>
      <c r="Q81" s="340">
        <f t="shared" si="50"/>
        <v>495.561492</v>
      </c>
      <c r="R81" s="340">
        <f t="shared" si="51"/>
        <v>359.2820817</v>
      </c>
      <c r="S81" s="341">
        <v>29</v>
      </c>
      <c r="T81" s="341">
        <v>19.926</v>
      </c>
      <c r="U81" s="338">
        <f t="shared" si="52"/>
        <v>7144.5716577</v>
      </c>
      <c r="V81" s="347"/>
    </row>
    <row r="82" s="299" customFormat="1" ht="18" customHeight="1" spans="1:22">
      <c r="A82" s="344"/>
      <c r="B82" s="345" t="s">
        <v>175</v>
      </c>
      <c r="C82" s="296" t="s">
        <v>252</v>
      </c>
      <c r="D82" s="336">
        <v>113</v>
      </c>
      <c r="E82" s="336">
        <v>36</v>
      </c>
      <c r="F82" s="338">
        <f t="shared" si="45"/>
        <v>1116.5536</v>
      </c>
      <c r="G82" s="339">
        <v>560.9136</v>
      </c>
      <c r="H82" s="339">
        <v>205.548</v>
      </c>
      <c r="I82" s="339">
        <v>88.092</v>
      </c>
      <c r="J82" s="339"/>
      <c r="K82" s="339"/>
      <c r="L82" s="339">
        <f t="shared" si="54"/>
        <v>262</v>
      </c>
      <c r="M82" s="339"/>
      <c r="N82" s="340">
        <f t="shared" si="47"/>
        <v>386.5634592</v>
      </c>
      <c r="O82" s="340">
        <f t="shared" si="48"/>
        <v>136.728576</v>
      </c>
      <c r="P82" s="340">
        <f t="shared" si="49"/>
        <v>68.364288</v>
      </c>
      <c r="Q82" s="340">
        <f t="shared" si="50"/>
        <v>102.546432</v>
      </c>
      <c r="R82" s="340">
        <f t="shared" si="51"/>
        <v>74.3461632</v>
      </c>
      <c r="S82" s="341">
        <v>6</v>
      </c>
      <c r="T82" s="341">
        <v>4.578</v>
      </c>
      <c r="U82" s="338">
        <f t="shared" si="52"/>
        <v>1503.1170592</v>
      </c>
      <c r="V82" s="347"/>
    </row>
    <row r="83" s="299" customFormat="1" ht="18" customHeight="1" spans="1:22">
      <c r="A83" s="344">
        <v>106</v>
      </c>
      <c r="B83" s="345"/>
      <c r="C83" s="296" t="s">
        <v>253</v>
      </c>
      <c r="D83" s="336">
        <f>SUM(D84:D85)</f>
        <v>67</v>
      </c>
      <c r="E83" s="336">
        <f>SUM(E84:E85)</f>
        <v>39</v>
      </c>
      <c r="F83" s="338">
        <f t="shared" si="45"/>
        <v>725.63717</v>
      </c>
      <c r="G83" s="339">
        <f>G84+G85</f>
        <v>373.1028</v>
      </c>
      <c r="H83" s="339">
        <f>H84+H85</f>
        <v>127.584</v>
      </c>
      <c r="I83" s="339">
        <f>I84+I85</f>
        <v>49.94227</v>
      </c>
      <c r="J83" s="339">
        <f>J84+J85</f>
        <v>2.0081</v>
      </c>
      <c r="K83" s="339">
        <f>SUM(K84:K85)</f>
        <v>0</v>
      </c>
      <c r="L83" s="339">
        <f>SUM(L84:L85)</f>
        <v>173</v>
      </c>
      <c r="M83" s="339">
        <f>M84+M85</f>
        <v>8.4</v>
      </c>
      <c r="N83" s="340">
        <f t="shared" si="47"/>
        <v>249.67481499</v>
      </c>
      <c r="O83" s="340">
        <f t="shared" si="48"/>
        <v>88.4219472</v>
      </c>
      <c r="P83" s="340">
        <f t="shared" si="49"/>
        <v>44.2109736</v>
      </c>
      <c r="Q83" s="340">
        <f t="shared" si="50"/>
        <v>66.3164604</v>
      </c>
      <c r="R83" s="340">
        <f t="shared" si="51"/>
        <v>48.07943379</v>
      </c>
      <c r="S83" s="341">
        <f t="shared" ref="S83:T83" si="55">SUM(S84:S85)</f>
        <v>5</v>
      </c>
      <c r="T83" s="341">
        <f t="shared" si="55"/>
        <v>2.646</v>
      </c>
      <c r="U83" s="338">
        <f t="shared" si="52"/>
        <v>975.31198499</v>
      </c>
      <c r="V83" s="347"/>
    </row>
    <row r="84" s="298" customFormat="1" ht="18" customHeight="1" spans="1:22">
      <c r="A84" s="333"/>
      <c r="B84" s="334" t="s">
        <v>177</v>
      </c>
      <c r="C84" s="348" t="s">
        <v>254</v>
      </c>
      <c r="D84" s="336">
        <v>26</v>
      </c>
      <c r="E84" s="336">
        <v>18</v>
      </c>
      <c r="F84" s="338">
        <f t="shared" si="45"/>
        <v>261.34187</v>
      </c>
      <c r="G84" s="339">
        <v>124.1532</v>
      </c>
      <c r="H84" s="339">
        <v>48.942</v>
      </c>
      <c r="I84" s="339">
        <v>16.23857</v>
      </c>
      <c r="J84" s="339">
        <v>2.0081</v>
      </c>
      <c r="K84" s="339"/>
      <c r="L84" s="339">
        <f>D84*2+E84*1</f>
        <v>70</v>
      </c>
      <c r="M84" s="339">
        <v>8.4</v>
      </c>
      <c r="N84" s="340">
        <f t="shared" si="47"/>
        <v>86.21381589</v>
      </c>
      <c r="O84" s="340">
        <f t="shared" si="48"/>
        <v>30.6146992</v>
      </c>
      <c r="P84" s="340">
        <f t="shared" si="49"/>
        <v>15.3073496</v>
      </c>
      <c r="Q84" s="340">
        <f t="shared" si="50"/>
        <v>22.9610244</v>
      </c>
      <c r="R84" s="340">
        <f t="shared" si="51"/>
        <v>16.64674269</v>
      </c>
      <c r="S84" s="341">
        <v>2</v>
      </c>
      <c r="T84" s="341">
        <v>0.684</v>
      </c>
      <c r="U84" s="338">
        <f t="shared" si="52"/>
        <v>347.55568589</v>
      </c>
      <c r="V84" s="342"/>
    </row>
    <row r="85" s="299" customFormat="1" ht="18" customHeight="1" spans="1:22">
      <c r="A85" s="344">
        <v>102</v>
      </c>
      <c r="B85" s="345" t="s">
        <v>175</v>
      </c>
      <c r="C85" s="349" t="s">
        <v>255</v>
      </c>
      <c r="D85" s="336">
        <v>41</v>
      </c>
      <c r="E85" s="343">
        <v>21</v>
      </c>
      <c r="F85" s="338">
        <f t="shared" si="45"/>
        <v>464.2953</v>
      </c>
      <c r="G85" s="339">
        <v>248.9496</v>
      </c>
      <c r="H85" s="339">
        <v>78.642</v>
      </c>
      <c r="I85" s="339">
        <v>33.7037</v>
      </c>
      <c r="J85" s="339"/>
      <c r="K85" s="339"/>
      <c r="L85" s="339">
        <f>D85*2+E85*1</f>
        <v>103</v>
      </c>
      <c r="M85" s="339"/>
      <c r="N85" s="340">
        <f t="shared" si="47"/>
        <v>163.4609991</v>
      </c>
      <c r="O85" s="340">
        <f t="shared" si="48"/>
        <v>57.807248</v>
      </c>
      <c r="P85" s="340">
        <f t="shared" si="49"/>
        <v>28.903624</v>
      </c>
      <c r="Q85" s="340">
        <f t="shared" si="50"/>
        <v>43.355436</v>
      </c>
      <c r="R85" s="340">
        <f t="shared" si="51"/>
        <v>31.4326911</v>
      </c>
      <c r="S85" s="341">
        <v>3</v>
      </c>
      <c r="T85" s="341">
        <v>1.962</v>
      </c>
      <c r="U85" s="338">
        <f t="shared" si="52"/>
        <v>627.7562991</v>
      </c>
      <c r="V85" s="347"/>
    </row>
    <row r="86" s="299" customFormat="1" ht="18" customHeight="1" spans="1:22">
      <c r="A86" s="344" t="s">
        <v>256</v>
      </c>
      <c r="B86" s="345"/>
      <c r="C86" s="362" t="s">
        <v>257</v>
      </c>
      <c r="D86" s="336">
        <f t="shared" ref="D86:M86" si="56">SUM(D87:D88)</f>
        <v>42</v>
      </c>
      <c r="E86" s="336">
        <f t="shared" si="56"/>
        <v>38</v>
      </c>
      <c r="F86" s="338">
        <f t="shared" si="45"/>
        <v>427.19637</v>
      </c>
      <c r="G86" s="339">
        <f t="shared" si="56"/>
        <v>194.3616</v>
      </c>
      <c r="H86" s="339">
        <f t="shared" si="56"/>
        <v>87.1668</v>
      </c>
      <c r="I86" s="339">
        <f t="shared" si="56"/>
        <v>13.93717</v>
      </c>
      <c r="J86" s="339">
        <f t="shared" si="56"/>
        <v>9.7308</v>
      </c>
      <c r="K86" s="339">
        <f t="shared" si="56"/>
        <v>0</v>
      </c>
      <c r="L86" s="339">
        <f t="shared" si="56"/>
        <v>122</v>
      </c>
      <c r="M86" s="339">
        <f t="shared" si="56"/>
        <v>2.6268</v>
      </c>
      <c r="N86" s="340">
        <f t="shared" si="47"/>
        <v>139.24877739</v>
      </c>
      <c r="O86" s="340">
        <f t="shared" si="48"/>
        <v>48.8314192</v>
      </c>
      <c r="P86" s="340">
        <f t="shared" si="49"/>
        <v>24.4157096</v>
      </c>
      <c r="Q86" s="340">
        <f t="shared" si="50"/>
        <v>36.6235644</v>
      </c>
      <c r="R86" s="340">
        <f t="shared" si="51"/>
        <v>26.55208419</v>
      </c>
      <c r="S86" s="341">
        <f>S87+S88</f>
        <v>4</v>
      </c>
      <c r="T86" s="341">
        <f>T87+T88</f>
        <v>2.826</v>
      </c>
      <c r="U86" s="338">
        <f t="shared" si="52"/>
        <v>566.44514739</v>
      </c>
      <c r="V86" s="347"/>
    </row>
    <row r="87" s="298" customFormat="1" ht="18" customHeight="1" spans="1:22">
      <c r="A87" s="333"/>
      <c r="B87" s="334" t="s">
        <v>170</v>
      </c>
      <c r="C87" s="296" t="s">
        <v>258</v>
      </c>
      <c r="D87" s="336">
        <v>34</v>
      </c>
      <c r="E87" s="337">
        <v>30</v>
      </c>
      <c r="F87" s="338">
        <f t="shared" si="45"/>
        <v>342.9636</v>
      </c>
      <c r="G87" s="339">
        <v>156.0288</v>
      </c>
      <c r="H87" s="339">
        <v>68.8296</v>
      </c>
      <c r="I87" s="339">
        <v>12.5126</v>
      </c>
      <c r="J87" s="339">
        <v>7.5926</v>
      </c>
      <c r="K87" s="339"/>
      <c r="L87" s="339">
        <f>D87*2+E87*1</f>
        <v>98</v>
      </c>
      <c r="M87" s="339">
        <v>2.6268</v>
      </c>
      <c r="N87" s="340">
        <f t="shared" si="47"/>
        <v>112.3247292</v>
      </c>
      <c r="O87" s="340">
        <f t="shared" ref="O87:O92" si="57">(G87+H87+I87+J87)*0.16</f>
        <v>39.194176</v>
      </c>
      <c r="P87" s="340">
        <f t="shared" ref="P87:P92" si="58">(G87+H87+I87+J87)*0.08</f>
        <v>19.597088</v>
      </c>
      <c r="Q87" s="340">
        <f t="shared" ref="Q87:Q92" si="59">(G87+H87+I87+J87)*0.12</f>
        <v>29.395632</v>
      </c>
      <c r="R87" s="340">
        <f t="shared" si="51"/>
        <v>21.3118332</v>
      </c>
      <c r="S87" s="341">
        <v>4</v>
      </c>
      <c r="T87" s="341">
        <v>2.826</v>
      </c>
      <c r="U87" s="338">
        <f t="shared" si="52"/>
        <v>455.2883292</v>
      </c>
      <c r="V87" s="342"/>
    </row>
    <row r="88" s="298" customFormat="1" ht="18" customHeight="1" spans="1:22">
      <c r="A88" s="333">
        <v>109</v>
      </c>
      <c r="B88" s="334" t="s">
        <v>177</v>
      </c>
      <c r="C88" s="335" t="s">
        <v>259</v>
      </c>
      <c r="D88" s="336">
        <v>8</v>
      </c>
      <c r="E88" s="337">
        <v>8</v>
      </c>
      <c r="F88" s="338">
        <f t="shared" si="45"/>
        <v>84.23277</v>
      </c>
      <c r="G88" s="339">
        <v>38.3328</v>
      </c>
      <c r="H88" s="339">
        <v>18.3372</v>
      </c>
      <c r="I88" s="339">
        <v>1.42457</v>
      </c>
      <c r="J88" s="339">
        <v>2.1382</v>
      </c>
      <c r="K88" s="339"/>
      <c r="L88" s="339">
        <f>D88*2+E88*1</f>
        <v>24</v>
      </c>
      <c r="M88" s="339"/>
      <c r="N88" s="340">
        <f t="shared" si="47"/>
        <v>26.92404819</v>
      </c>
      <c r="O88" s="340">
        <f t="shared" si="57"/>
        <v>9.6372432</v>
      </c>
      <c r="P88" s="340">
        <f t="shared" si="58"/>
        <v>4.8186216</v>
      </c>
      <c r="Q88" s="340">
        <f t="shared" si="59"/>
        <v>7.2279324</v>
      </c>
      <c r="R88" s="340">
        <f t="shared" si="51"/>
        <v>5.24025099</v>
      </c>
      <c r="S88" s="341"/>
      <c r="T88" s="341"/>
      <c r="U88" s="338">
        <f t="shared" si="52"/>
        <v>111.15681819</v>
      </c>
      <c r="V88" s="342"/>
    </row>
    <row r="89" s="299" customFormat="1" ht="18" customHeight="1" spans="1:22">
      <c r="A89" s="344">
        <v>110</v>
      </c>
      <c r="B89" s="345"/>
      <c r="C89" s="362" t="s">
        <v>260</v>
      </c>
      <c r="D89" s="336">
        <f>SUM(D90:D91,D94:D99)</f>
        <v>198</v>
      </c>
      <c r="E89" s="336">
        <f>SUM(E90:E91,E94:E99)</f>
        <v>149</v>
      </c>
      <c r="F89" s="338">
        <f t="shared" si="45"/>
        <v>1816.01702</v>
      </c>
      <c r="G89" s="339">
        <f t="shared" ref="G89:M89" si="60">SUM(G90:G91,G94:G99)</f>
        <v>830.1164</v>
      </c>
      <c r="H89" s="339">
        <f t="shared" si="60"/>
        <v>334.3284</v>
      </c>
      <c r="I89" s="339">
        <f t="shared" si="60"/>
        <v>115.22822</v>
      </c>
      <c r="J89" s="339">
        <f t="shared" si="60"/>
        <v>11.344</v>
      </c>
      <c r="K89" s="339">
        <f t="shared" si="60"/>
        <v>0</v>
      </c>
      <c r="L89" s="339">
        <f t="shared" si="60"/>
        <v>525</v>
      </c>
      <c r="M89" s="339">
        <f t="shared" si="60"/>
        <v>0</v>
      </c>
      <c r="N89" s="340">
        <f t="shared" si="47"/>
        <v>593.60020794</v>
      </c>
      <c r="O89" s="340">
        <f t="shared" si="57"/>
        <v>206.5627232</v>
      </c>
      <c r="P89" s="340">
        <f t="shared" si="58"/>
        <v>103.2813616</v>
      </c>
      <c r="Q89" s="340">
        <f t="shared" si="59"/>
        <v>154.9220424</v>
      </c>
      <c r="R89" s="340">
        <f t="shared" si="51"/>
        <v>112.31848074</v>
      </c>
      <c r="S89" s="341">
        <f>SUM(S90:S99)</f>
        <v>22</v>
      </c>
      <c r="T89" s="341">
        <f>SUM(T90:T99)</f>
        <v>16.5156</v>
      </c>
      <c r="U89" s="338">
        <f t="shared" si="52"/>
        <v>2409.61722794</v>
      </c>
      <c r="V89" s="347"/>
    </row>
    <row r="90" s="299" customFormat="1" ht="18" customHeight="1" spans="1:22">
      <c r="A90" s="344"/>
      <c r="B90" s="345" t="s">
        <v>170</v>
      </c>
      <c r="C90" s="335" t="s">
        <v>261</v>
      </c>
      <c r="D90" s="343">
        <v>73</v>
      </c>
      <c r="E90" s="343">
        <v>36</v>
      </c>
      <c r="F90" s="353">
        <f t="shared" si="45"/>
        <v>683.3992</v>
      </c>
      <c r="G90" s="339">
        <v>317.6676</v>
      </c>
      <c r="H90" s="339">
        <v>135.3816</v>
      </c>
      <c r="I90" s="339">
        <v>42.2923</v>
      </c>
      <c r="J90" s="339">
        <v>6.0577</v>
      </c>
      <c r="K90" s="339"/>
      <c r="L90" s="339">
        <f>D90*2+E90*1</f>
        <v>182</v>
      </c>
      <c r="M90" s="339"/>
      <c r="N90" s="356">
        <f t="shared" si="47"/>
        <v>228.4310424</v>
      </c>
      <c r="O90" s="356">
        <f t="shared" si="57"/>
        <v>80.223872</v>
      </c>
      <c r="P90" s="356">
        <f t="shared" si="58"/>
        <v>40.111936</v>
      </c>
      <c r="Q90" s="356">
        <f t="shared" si="59"/>
        <v>60.167904</v>
      </c>
      <c r="R90" s="356">
        <f t="shared" si="51"/>
        <v>43.6217304</v>
      </c>
      <c r="S90" s="339">
        <v>6</v>
      </c>
      <c r="T90" s="339">
        <v>4.3056</v>
      </c>
      <c r="U90" s="353">
        <f t="shared" si="52"/>
        <v>911.8302424</v>
      </c>
      <c r="V90" s="347"/>
    </row>
    <row r="91" s="298" customFormat="1" ht="18" customHeight="1" spans="1:22">
      <c r="A91" s="333"/>
      <c r="B91" s="334"/>
      <c r="C91" s="369" t="s">
        <v>262</v>
      </c>
      <c r="D91" s="336">
        <f>SUM(D92:D93)</f>
        <v>17</v>
      </c>
      <c r="E91" s="336">
        <f>SUM(E92:E93)</f>
        <v>0</v>
      </c>
      <c r="F91" s="338">
        <f t="shared" si="45"/>
        <v>103.1671</v>
      </c>
      <c r="G91" s="339">
        <f t="shared" ref="G91:L91" si="61">SUM(G92:G93)</f>
        <v>72.47</v>
      </c>
      <c r="H91" s="339">
        <f t="shared" si="61"/>
        <v>11.688</v>
      </c>
      <c r="I91" s="339">
        <f t="shared" si="61"/>
        <v>5.0091</v>
      </c>
      <c r="J91" s="339">
        <f t="shared" si="61"/>
        <v>0</v>
      </c>
      <c r="K91" s="339">
        <f t="shared" si="61"/>
        <v>0</v>
      </c>
      <c r="L91" s="339">
        <f t="shared" si="61"/>
        <v>14</v>
      </c>
      <c r="M91" s="339"/>
      <c r="N91" s="340">
        <f t="shared" si="47"/>
        <v>39.8576937</v>
      </c>
      <c r="O91" s="340">
        <f t="shared" si="57"/>
        <v>14.266736</v>
      </c>
      <c r="P91" s="340">
        <f t="shared" si="58"/>
        <v>7.133368</v>
      </c>
      <c r="Q91" s="340">
        <f t="shared" si="59"/>
        <v>10.700052</v>
      </c>
      <c r="R91" s="340">
        <f t="shared" si="51"/>
        <v>7.7575377</v>
      </c>
      <c r="S91" s="360">
        <v>0</v>
      </c>
      <c r="T91" s="360">
        <f>SUM(T92:T93)</f>
        <v>0</v>
      </c>
      <c r="U91" s="338">
        <f t="shared" si="52"/>
        <v>143.0247937</v>
      </c>
      <c r="V91" s="342"/>
    </row>
    <row r="92" s="298" customFormat="1" ht="18" customHeight="1" spans="1:22">
      <c r="A92" s="333"/>
      <c r="B92" s="334" t="s">
        <v>175</v>
      </c>
      <c r="C92" s="349" t="s">
        <v>263</v>
      </c>
      <c r="D92" s="370">
        <v>7</v>
      </c>
      <c r="E92" s="370"/>
      <c r="F92" s="338">
        <f t="shared" si="45"/>
        <v>56.1671</v>
      </c>
      <c r="G92" s="371">
        <v>25.47</v>
      </c>
      <c r="H92" s="371">
        <v>11.688</v>
      </c>
      <c r="I92" s="371">
        <v>5.0091</v>
      </c>
      <c r="J92" s="371"/>
      <c r="K92" s="371"/>
      <c r="L92" s="339">
        <f>D92*2+E92*1</f>
        <v>14</v>
      </c>
      <c r="M92" s="339"/>
      <c r="N92" s="340">
        <f t="shared" si="47"/>
        <v>18.8486937</v>
      </c>
      <c r="O92" s="340">
        <f t="shared" si="57"/>
        <v>6.746736</v>
      </c>
      <c r="P92" s="340">
        <f t="shared" si="58"/>
        <v>3.373368</v>
      </c>
      <c r="Q92" s="340">
        <f t="shared" si="59"/>
        <v>5.060052</v>
      </c>
      <c r="R92" s="340">
        <f t="shared" si="51"/>
        <v>3.6685377</v>
      </c>
      <c r="S92" s="372"/>
      <c r="T92" s="372"/>
      <c r="U92" s="338">
        <f t="shared" si="52"/>
        <v>75.0157937</v>
      </c>
      <c r="V92" s="342"/>
    </row>
    <row r="93" s="298" customFormat="1" ht="18" customHeight="1" spans="1:22">
      <c r="A93" s="333"/>
      <c r="B93" s="334"/>
      <c r="C93" s="349" t="s">
        <v>264</v>
      </c>
      <c r="D93" s="370">
        <v>10</v>
      </c>
      <c r="E93" s="370"/>
      <c r="F93" s="338">
        <f t="shared" si="45"/>
        <v>47</v>
      </c>
      <c r="G93" s="371">
        <v>47</v>
      </c>
      <c r="H93" s="371"/>
      <c r="I93" s="371"/>
      <c r="J93" s="371"/>
      <c r="K93" s="371"/>
      <c r="L93" s="339"/>
      <c r="M93" s="339"/>
      <c r="N93" s="340"/>
      <c r="O93" s="340"/>
      <c r="P93" s="340"/>
      <c r="Q93" s="340"/>
      <c r="R93" s="340"/>
      <c r="S93" s="372"/>
      <c r="T93" s="372"/>
      <c r="U93" s="338">
        <f t="shared" si="52"/>
        <v>47</v>
      </c>
      <c r="V93" s="342"/>
    </row>
    <row r="94" s="298" customFormat="1" ht="18" customHeight="1" spans="1:22">
      <c r="A94" s="333"/>
      <c r="B94" s="334" t="s">
        <v>265</v>
      </c>
      <c r="C94" s="335" t="s">
        <v>266</v>
      </c>
      <c r="D94" s="336">
        <v>6</v>
      </c>
      <c r="E94" s="336"/>
      <c r="F94" s="338">
        <f t="shared" si="45"/>
        <v>54.4397</v>
      </c>
      <c r="G94" s="339">
        <v>27.294</v>
      </c>
      <c r="H94" s="339">
        <v>10.602</v>
      </c>
      <c r="I94" s="339">
        <v>4.5437</v>
      </c>
      <c r="J94" s="339"/>
      <c r="K94" s="339"/>
      <c r="L94" s="339">
        <f t="shared" ref="L94:L99" si="62">D94*2+E94*1</f>
        <v>12</v>
      </c>
      <c r="M94" s="339"/>
      <c r="N94" s="340">
        <f>O94+P94+T94+R94+Q94</f>
        <v>18.9705459</v>
      </c>
      <c r="O94" s="340">
        <f t="shared" ref="O94:O99" si="63">(G94+H94+I94+J94)*0.16</f>
        <v>6.790352</v>
      </c>
      <c r="P94" s="340">
        <f t="shared" ref="P94:P99" si="64">(G94+H94+I94+J94)*0.08</f>
        <v>3.395176</v>
      </c>
      <c r="Q94" s="340">
        <f t="shared" ref="Q94:Q99" si="65">(G94+H94+I94+J94)*0.12</f>
        <v>5.092764</v>
      </c>
      <c r="R94" s="340">
        <f t="shared" si="51"/>
        <v>3.6922539</v>
      </c>
      <c r="S94" s="341"/>
      <c r="T94" s="341"/>
      <c r="U94" s="338">
        <f t="shared" si="52"/>
        <v>73.4102459</v>
      </c>
      <c r="V94" s="342"/>
    </row>
    <row r="95" s="298" customFormat="1" ht="18" customHeight="1" spans="1:22">
      <c r="A95" s="333">
        <v>89</v>
      </c>
      <c r="B95" s="334" t="s">
        <v>175</v>
      </c>
      <c r="C95" s="296" t="s">
        <v>267</v>
      </c>
      <c r="D95" s="336">
        <v>3</v>
      </c>
      <c r="E95" s="337">
        <v>6</v>
      </c>
      <c r="F95" s="338">
        <f t="shared" si="45"/>
        <v>29.36537</v>
      </c>
      <c r="G95" s="339">
        <v>10.3368</v>
      </c>
      <c r="H95" s="339">
        <v>4.92</v>
      </c>
      <c r="I95" s="339">
        <v>2.10857</v>
      </c>
      <c r="J95" s="339"/>
      <c r="K95" s="339"/>
      <c r="L95" s="339">
        <f t="shared" si="62"/>
        <v>12</v>
      </c>
      <c r="M95" s="339"/>
      <c r="N95" s="340">
        <f>O95+P95+T95+R95+Q95</f>
        <v>8.10432039</v>
      </c>
      <c r="O95" s="340">
        <f t="shared" si="63"/>
        <v>2.7784592</v>
      </c>
      <c r="P95" s="340">
        <f t="shared" si="64"/>
        <v>1.3892296</v>
      </c>
      <c r="Q95" s="340">
        <f t="shared" si="65"/>
        <v>2.0838444</v>
      </c>
      <c r="R95" s="340">
        <f t="shared" si="51"/>
        <v>1.51078719</v>
      </c>
      <c r="S95" s="341">
        <v>1</v>
      </c>
      <c r="T95" s="341">
        <v>0.342</v>
      </c>
      <c r="U95" s="338">
        <f t="shared" si="52"/>
        <v>37.46969039</v>
      </c>
      <c r="V95" s="342"/>
    </row>
    <row r="96" s="298" customFormat="1" ht="18" customHeight="1" spans="1:22">
      <c r="A96" s="333"/>
      <c r="B96" s="334" t="s">
        <v>177</v>
      </c>
      <c r="C96" s="296" t="s">
        <v>268</v>
      </c>
      <c r="D96" s="336">
        <v>8</v>
      </c>
      <c r="E96" s="337">
        <v>6</v>
      </c>
      <c r="F96" s="338">
        <f t="shared" si="45"/>
        <v>73.30269</v>
      </c>
      <c r="G96" s="339">
        <v>32.1156</v>
      </c>
      <c r="H96" s="339">
        <v>16.4256</v>
      </c>
      <c r="I96" s="339">
        <v>0.69429</v>
      </c>
      <c r="J96" s="339">
        <v>2.0672</v>
      </c>
      <c r="K96" s="339"/>
      <c r="L96" s="339">
        <f t="shared" si="62"/>
        <v>22</v>
      </c>
      <c r="M96" s="339"/>
      <c r="N96" s="340">
        <f>O96+P96+T96+R96+Q96</f>
        <v>22.93230243</v>
      </c>
      <c r="O96" s="340">
        <f t="shared" si="63"/>
        <v>8.2084304</v>
      </c>
      <c r="P96" s="340">
        <f t="shared" si="64"/>
        <v>4.1042152</v>
      </c>
      <c r="Q96" s="340">
        <f t="shared" si="65"/>
        <v>6.1563228</v>
      </c>
      <c r="R96" s="340">
        <f t="shared" si="51"/>
        <v>4.46333403</v>
      </c>
      <c r="S96" s="341"/>
      <c r="T96" s="341"/>
      <c r="U96" s="338">
        <f t="shared" si="52"/>
        <v>96.23499243</v>
      </c>
      <c r="V96" s="342"/>
    </row>
    <row r="97" s="298" customFormat="1" ht="18" customHeight="1" spans="1:22">
      <c r="A97" s="333"/>
      <c r="B97" s="334" t="s">
        <v>175</v>
      </c>
      <c r="C97" s="296" t="s">
        <v>269</v>
      </c>
      <c r="D97" s="336">
        <v>16</v>
      </c>
      <c r="E97" s="336">
        <v>50</v>
      </c>
      <c r="F97" s="338">
        <f t="shared" si="45"/>
        <v>191.00166</v>
      </c>
      <c r="G97" s="339">
        <v>70.0188</v>
      </c>
      <c r="H97" s="339">
        <v>27.288</v>
      </c>
      <c r="I97" s="339">
        <v>11.69486</v>
      </c>
      <c r="J97" s="339"/>
      <c r="K97" s="339"/>
      <c r="L97" s="339">
        <f t="shared" si="62"/>
        <v>82</v>
      </c>
      <c r="M97" s="339"/>
      <c r="N97" s="340">
        <f>O97+P97+T97+R97+Q97</f>
        <v>55.34774202</v>
      </c>
      <c r="O97" s="340">
        <f t="shared" si="63"/>
        <v>17.4402656</v>
      </c>
      <c r="P97" s="340">
        <f t="shared" si="64"/>
        <v>8.7201328</v>
      </c>
      <c r="Q97" s="340">
        <f t="shared" si="65"/>
        <v>13.0801992</v>
      </c>
      <c r="R97" s="340">
        <f t="shared" si="51"/>
        <v>9.48314442</v>
      </c>
      <c r="S97" s="341">
        <v>8</v>
      </c>
      <c r="T97" s="341">
        <v>6.624</v>
      </c>
      <c r="U97" s="338">
        <f t="shared" si="52"/>
        <v>246.34940202</v>
      </c>
      <c r="V97" s="342"/>
    </row>
    <row r="98" s="298" customFormat="1" ht="18" customHeight="1" spans="1:22">
      <c r="A98" s="333"/>
      <c r="B98" s="334" t="s">
        <v>175</v>
      </c>
      <c r="C98" s="296" t="s">
        <v>270</v>
      </c>
      <c r="D98" s="336">
        <v>1</v>
      </c>
      <c r="E98" s="336">
        <v>4</v>
      </c>
      <c r="F98" s="338">
        <f t="shared" si="45"/>
        <v>6</v>
      </c>
      <c r="G98" s="339"/>
      <c r="H98" s="339"/>
      <c r="I98" s="339"/>
      <c r="J98" s="339"/>
      <c r="K98" s="339"/>
      <c r="L98" s="339">
        <f t="shared" si="62"/>
        <v>6</v>
      </c>
      <c r="M98" s="339"/>
      <c r="N98" s="340">
        <f>O98+P98+T98+R98+Q98</f>
        <v>0</v>
      </c>
      <c r="O98" s="340">
        <f t="shared" si="63"/>
        <v>0</v>
      </c>
      <c r="P98" s="340">
        <f t="shared" si="64"/>
        <v>0</v>
      </c>
      <c r="Q98" s="340">
        <f t="shared" si="65"/>
        <v>0</v>
      </c>
      <c r="R98" s="340">
        <f t="shared" si="51"/>
        <v>0</v>
      </c>
      <c r="S98" s="341"/>
      <c r="T98" s="341"/>
      <c r="U98" s="338">
        <f t="shared" si="52"/>
        <v>6</v>
      </c>
      <c r="V98" s="342"/>
    </row>
    <row r="99" s="298" customFormat="1" ht="18" customHeight="1" spans="1:22">
      <c r="A99" s="333"/>
      <c r="B99" s="334" t="s">
        <v>175</v>
      </c>
      <c r="C99" s="335" t="s">
        <v>271</v>
      </c>
      <c r="D99" s="336">
        <v>74</v>
      </c>
      <c r="E99" s="343">
        <v>47</v>
      </c>
      <c r="F99" s="338">
        <f t="shared" ref="F99:F122" si="66">SUM(G99:L99)</f>
        <v>675.3413</v>
      </c>
      <c r="G99" s="339">
        <v>300.2136</v>
      </c>
      <c r="H99" s="339">
        <v>128.0232</v>
      </c>
      <c r="I99" s="339">
        <v>48.8854</v>
      </c>
      <c r="J99" s="339">
        <v>3.2191</v>
      </c>
      <c r="K99" s="339"/>
      <c r="L99" s="339">
        <f t="shared" si="62"/>
        <v>195</v>
      </c>
      <c r="M99" s="339"/>
      <c r="N99" s="340">
        <f t="shared" ref="N99:N115" si="67">O99+P99+T99+R99+Q99</f>
        <v>219.9565611</v>
      </c>
      <c r="O99" s="340">
        <f t="shared" si="63"/>
        <v>76.854608</v>
      </c>
      <c r="P99" s="340">
        <f t="shared" si="64"/>
        <v>38.427304</v>
      </c>
      <c r="Q99" s="340">
        <f t="shared" si="65"/>
        <v>57.640956</v>
      </c>
      <c r="R99" s="340">
        <f t="shared" si="51"/>
        <v>41.7896931</v>
      </c>
      <c r="S99" s="341">
        <v>7</v>
      </c>
      <c r="T99" s="341">
        <v>5.244</v>
      </c>
      <c r="U99" s="338">
        <f t="shared" ref="U99:U115" si="68">F99+N99</f>
        <v>895.2978611</v>
      </c>
      <c r="V99" s="342"/>
    </row>
    <row r="100" s="299" customFormat="1" ht="18" customHeight="1" spans="1:22">
      <c r="A100" s="344" t="s">
        <v>272</v>
      </c>
      <c r="B100" s="345"/>
      <c r="C100" s="362" t="s">
        <v>273</v>
      </c>
      <c r="D100" s="336">
        <f>SUM(D101,D108:D109)</f>
        <v>231</v>
      </c>
      <c r="E100" s="336">
        <f>SUM(E101,E108:E109)</f>
        <v>123</v>
      </c>
      <c r="F100" s="338">
        <f t="shared" si="66"/>
        <v>2122.19606</v>
      </c>
      <c r="G100" s="339">
        <f t="shared" ref="G100:M100" si="69">SUM(G101,G108:G109)</f>
        <v>955.9764</v>
      </c>
      <c r="H100" s="339">
        <f t="shared" si="69"/>
        <v>455.9304</v>
      </c>
      <c r="I100" s="339">
        <f t="shared" si="69"/>
        <v>74.02116</v>
      </c>
      <c r="J100" s="339">
        <f t="shared" si="69"/>
        <v>51.2681</v>
      </c>
      <c r="K100" s="339">
        <f t="shared" si="69"/>
        <v>0</v>
      </c>
      <c r="L100" s="339">
        <f t="shared" si="69"/>
        <v>585</v>
      </c>
      <c r="M100" s="339">
        <f t="shared" si="69"/>
        <v>8.8536</v>
      </c>
      <c r="N100" s="340">
        <f t="shared" si="67"/>
        <v>693.49863882</v>
      </c>
      <c r="O100" s="340">
        <f t="shared" ref="O100:O110" si="70">(G100+H100+I100+J100)*0.16</f>
        <v>245.9513696</v>
      </c>
      <c r="P100" s="340">
        <f t="shared" ref="P100:P110" si="71">(G100+H100+I100+J100)*0.08</f>
        <v>122.9756848</v>
      </c>
      <c r="Q100" s="340">
        <f t="shared" ref="Q100:Q110" si="72">(G100+H100+I100+J100)*0.12</f>
        <v>184.4635272</v>
      </c>
      <c r="R100" s="340">
        <f t="shared" si="51"/>
        <v>133.73605722</v>
      </c>
      <c r="S100" s="341">
        <f>SUM(S101,S108:S109)</f>
        <v>9</v>
      </c>
      <c r="T100" s="341">
        <f>SUM(T101,T108:T109)</f>
        <v>6.372</v>
      </c>
      <c r="U100" s="338">
        <f t="shared" si="68"/>
        <v>2815.69469882</v>
      </c>
      <c r="V100" s="347"/>
    </row>
    <row r="101" s="299" customFormat="1" ht="18" customHeight="1" spans="1:22">
      <c r="A101" s="344"/>
      <c r="B101" s="345"/>
      <c r="C101" s="296" t="s">
        <v>274</v>
      </c>
      <c r="D101" s="336">
        <f>SUM(D102:D107)</f>
        <v>181</v>
      </c>
      <c r="E101" s="336">
        <f>SUM(E102:E107)</f>
        <v>77</v>
      </c>
      <c r="F101" s="338">
        <f t="shared" si="66"/>
        <v>1640.92596</v>
      </c>
      <c r="G101" s="339">
        <f t="shared" ref="G101:M101" si="73">SUM(G102:G107)</f>
        <v>745.6656</v>
      </c>
      <c r="H101" s="339">
        <f t="shared" si="73"/>
        <v>362.2512</v>
      </c>
      <c r="I101" s="339">
        <f t="shared" si="73"/>
        <v>51.46976</v>
      </c>
      <c r="J101" s="339">
        <f t="shared" si="73"/>
        <v>42.5394</v>
      </c>
      <c r="K101" s="339">
        <f t="shared" si="73"/>
        <v>0</v>
      </c>
      <c r="L101" s="339">
        <f t="shared" si="73"/>
        <v>439</v>
      </c>
      <c r="M101" s="339">
        <f t="shared" si="73"/>
        <v>8.8536</v>
      </c>
      <c r="N101" s="340">
        <f t="shared" si="67"/>
        <v>541.14890412</v>
      </c>
      <c r="O101" s="340">
        <f t="shared" si="70"/>
        <v>192.3081536</v>
      </c>
      <c r="P101" s="340">
        <f t="shared" si="71"/>
        <v>96.1540768</v>
      </c>
      <c r="Q101" s="340">
        <f t="shared" si="72"/>
        <v>144.2311152</v>
      </c>
      <c r="R101" s="340">
        <f t="shared" si="51"/>
        <v>104.56755852</v>
      </c>
      <c r="S101" s="341">
        <f>SUM(S102:S107)</f>
        <v>6</v>
      </c>
      <c r="T101" s="341">
        <f>SUM(T102:T107)</f>
        <v>3.888</v>
      </c>
      <c r="U101" s="338">
        <f t="shared" si="68"/>
        <v>2182.07486412</v>
      </c>
      <c r="V101" s="347"/>
    </row>
    <row r="102" s="298" customFormat="1" ht="18" customHeight="1" spans="1:22">
      <c r="A102" s="333"/>
      <c r="B102" s="334" t="s">
        <v>177</v>
      </c>
      <c r="C102" s="348" t="s">
        <v>275</v>
      </c>
      <c r="D102" s="336">
        <v>32</v>
      </c>
      <c r="E102" s="336">
        <v>22</v>
      </c>
      <c r="F102" s="338">
        <f t="shared" si="66"/>
        <v>308.7174</v>
      </c>
      <c r="G102" s="339">
        <v>139.0524</v>
      </c>
      <c r="H102" s="339">
        <v>66.2412</v>
      </c>
      <c r="I102" s="339">
        <v>8.622</v>
      </c>
      <c r="J102" s="339">
        <v>8.8018</v>
      </c>
      <c r="K102" s="339"/>
      <c r="L102" s="339">
        <f>D102*2+E102*1</f>
        <v>86</v>
      </c>
      <c r="M102" s="339">
        <v>6.2268</v>
      </c>
      <c r="N102" s="340">
        <f t="shared" si="67"/>
        <v>99.8966778</v>
      </c>
      <c r="O102" s="340">
        <f t="shared" si="70"/>
        <v>35.634784</v>
      </c>
      <c r="P102" s="340">
        <f t="shared" si="71"/>
        <v>17.817392</v>
      </c>
      <c r="Q102" s="340">
        <f t="shared" si="72"/>
        <v>26.726088</v>
      </c>
      <c r="R102" s="340">
        <f t="shared" si="51"/>
        <v>19.3764138</v>
      </c>
      <c r="S102" s="341">
        <v>1</v>
      </c>
      <c r="T102" s="341">
        <v>0.342</v>
      </c>
      <c r="U102" s="338">
        <f t="shared" si="68"/>
        <v>408.6140778</v>
      </c>
      <c r="V102" s="342"/>
    </row>
    <row r="103" s="298" customFormat="1" ht="18" customHeight="1" spans="1:22">
      <c r="A103" s="333" t="s">
        <v>276</v>
      </c>
      <c r="B103" s="334" t="s">
        <v>177</v>
      </c>
      <c r="C103" s="348" t="s">
        <v>277</v>
      </c>
      <c r="D103" s="336">
        <v>24</v>
      </c>
      <c r="E103" s="336">
        <v>10</v>
      </c>
      <c r="F103" s="338">
        <f t="shared" si="66"/>
        <v>221.4611</v>
      </c>
      <c r="G103" s="339">
        <v>103.158</v>
      </c>
      <c r="H103" s="339">
        <v>48.5124</v>
      </c>
      <c r="I103" s="339">
        <v>4.8626</v>
      </c>
      <c r="J103" s="339">
        <v>6.9281</v>
      </c>
      <c r="K103" s="339"/>
      <c r="L103" s="339">
        <f t="shared" ref="L103:L109" si="74">D103*2+E103*1</f>
        <v>58</v>
      </c>
      <c r="M103" s="339"/>
      <c r="N103" s="340">
        <f t="shared" si="67"/>
        <v>75.7851117</v>
      </c>
      <c r="O103" s="340">
        <f t="shared" si="70"/>
        <v>26.153776</v>
      </c>
      <c r="P103" s="340">
        <f t="shared" si="71"/>
        <v>13.076888</v>
      </c>
      <c r="Q103" s="340">
        <f t="shared" si="72"/>
        <v>19.615332</v>
      </c>
      <c r="R103" s="340">
        <f t="shared" si="51"/>
        <v>14.2211157</v>
      </c>
      <c r="S103" s="341">
        <v>4</v>
      </c>
      <c r="T103" s="341">
        <v>2.718</v>
      </c>
      <c r="U103" s="338">
        <f t="shared" si="68"/>
        <v>297.2462117</v>
      </c>
      <c r="V103" s="342"/>
    </row>
    <row r="104" s="298" customFormat="1" ht="18" customHeight="1" spans="1:22">
      <c r="A104" s="333"/>
      <c r="B104" s="334" t="s">
        <v>177</v>
      </c>
      <c r="C104" s="349" t="s">
        <v>278</v>
      </c>
      <c r="D104" s="336">
        <v>9</v>
      </c>
      <c r="E104" s="336">
        <v>2</v>
      </c>
      <c r="F104" s="338">
        <f t="shared" si="66"/>
        <v>75.19486</v>
      </c>
      <c r="G104" s="339">
        <v>33.732</v>
      </c>
      <c r="H104" s="339">
        <v>15.024</v>
      </c>
      <c r="I104" s="339">
        <v>6.43886</v>
      </c>
      <c r="J104" s="339"/>
      <c r="K104" s="339"/>
      <c r="L104" s="339">
        <f t="shared" si="74"/>
        <v>20</v>
      </c>
      <c r="M104" s="339"/>
      <c r="N104" s="340">
        <f t="shared" si="67"/>
        <v>24.67210242</v>
      </c>
      <c r="O104" s="340">
        <f t="shared" si="70"/>
        <v>8.8311776</v>
      </c>
      <c r="P104" s="340">
        <f t="shared" si="71"/>
        <v>4.4155888</v>
      </c>
      <c r="Q104" s="340">
        <f t="shared" si="72"/>
        <v>6.6233832</v>
      </c>
      <c r="R104" s="340">
        <f t="shared" ref="R104:R138" si="75">(G104+H104+I104+J104)*0.087</f>
        <v>4.80195282</v>
      </c>
      <c r="S104" s="341"/>
      <c r="T104" s="341"/>
      <c r="U104" s="338">
        <f t="shared" si="68"/>
        <v>99.86696242</v>
      </c>
      <c r="V104" s="342"/>
    </row>
    <row r="105" s="298" customFormat="1" ht="18" customHeight="1" spans="1:22">
      <c r="A105" s="333"/>
      <c r="B105" s="334" t="s">
        <v>177</v>
      </c>
      <c r="C105" s="349" t="s">
        <v>279</v>
      </c>
      <c r="D105" s="336">
        <v>44</v>
      </c>
      <c r="E105" s="336">
        <v>15</v>
      </c>
      <c r="F105" s="338">
        <f t="shared" si="66"/>
        <v>392.4963</v>
      </c>
      <c r="G105" s="339">
        <v>179.3256</v>
      </c>
      <c r="H105" s="339">
        <v>86.6016</v>
      </c>
      <c r="I105" s="339">
        <v>14.85</v>
      </c>
      <c r="J105" s="339">
        <v>8.7191</v>
      </c>
      <c r="K105" s="339"/>
      <c r="L105" s="339">
        <f t="shared" si="74"/>
        <v>103</v>
      </c>
      <c r="M105" s="339"/>
      <c r="N105" s="340">
        <f t="shared" si="67"/>
        <v>129.4048461</v>
      </c>
      <c r="O105" s="340">
        <f t="shared" si="70"/>
        <v>46.319408</v>
      </c>
      <c r="P105" s="340">
        <f t="shared" si="71"/>
        <v>23.159704</v>
      </c>
      <c r="Q105" s="340">
        <f t="shared" si="72"/>
        <v>34.739556</v>
      </c>
      <c r="R105" s="340">
        <f t="shared" si="75"/>
        <v>25.1861781</v>
      </c>
      <c r="S105" s="341"/>
      <c r="T105" s="341"/>
      <c r="U105" s="338">
        <f t="shared" si="68"/>
        <v>521.9011461</v>
      </c>
      <c r="V105" s="342"/>
    </row>
    <row r="106" s="298" customFormat="1" ht="18" customHeight="1" spans="1:22">
      <c r="A106" s="333"/>
      <c r="B106" s="334" t="s">
        <v>177</v>
      </c>
      <c r="C106" s="296" t="s">
        <v>280</v>
      </c>
      <c r="D106" s="336">
        <v>29</v>
      </c>
      <c r="E106" s="337">
        <v>8</v>
      </c>
      <c r="F106" s="338">
        <f t="shared" si="66"/>
        <v>245.4624</v>
      </c>
      <c r="G106" s="339">
        <v>109.2732</v>
      </c>
      <c r="H106" s="339">
        <v>50.97</v>
      </c>
      <c r="I106" s="339">
        <v>16.6963</v>
      </c>
      <c r="J106" s="339">
        <v>2.5229</v>
      </c>
      <c r="K106" s="339"/>
      <c r="L106" s="339">
        <f t="shared" si="74"/>
        <v>66</v>
      </c>
      <c r="M106" s="339">
        <v>2.6268</v>
      </c>
      <c r="N106" s="340">
        <f t="shared" si="67"/>
        <v>80.2196928</v>
      </c>
      <c r="O106" s="340">
        <f t="shared" si="70"/>
        <v>28.713984</v>
      </c>
      <c r="P106" s="340">
        <f t="shared" si="71"/>
        <v>14.356992</v>
      </c>
      <c r="Q106" s="340">
        <f t="shared" si="72"/>
        <v>21.535488</v>
      </c>
      <c r="R106" s="340">
        <f t="shared" si="75"/>
        <v>15.6132288</v>
      </c>
      <c r="S106" s="341"/>
      <c r="T106" s="341"/>
      <c r="U106" s="338">
        <f t="shared" si="68"/>
        <v>325.6820928</v>
      </c>
      <c r="V106" s="342"/>
    </row>
    <row r="107" s="298" customFormat="1" ht="18" customHeight="1" spans="1:22">
      <c r="A107" s="333" t="s">
        <v>281</v>
      </c>
      <c r="B107" s="334" t="s">
        <v>177</v>
      </c>
      <c r="C107" s="349" t="s">
        <v>282</v>
      </c>
      <c r="D107" s="336">
        <v>43</v>
      </c>
      <c r="E107" s="343">
        <v>20</v>
      </c>
      <c r="F107" s="338">
        <f t="shared" si="66"/>
        <v>397.5939</v>
      </c>
      <c r="G107" s="339">
        <v>181.1244</v>
      </c>
      <c r="H107" s="339">
        <v>94.902</v>
      </c>
      <c r="I107" s="339"/>
      <c r="J107" s="339">
        <v>15.5675</v>
      </c>
      <c r="K107" s="339"/>
      <c r="L107" s="339">
        <f t="shared" si="74"/>
        <v>106</v>
      </c>
      <c r="M107" s="339"/>
      <c r="N107" s="340">
        <f t="shared" si="67"/>
        <v>131.1704733</v>
      </c>
      <c r="O107" s="340">
        <f t="shared" si="70"/>
        <v>46.655024</v>
      </c>
      <c r="P107" s="340">
        <f t="shared" si="71"/>
        <v>23.327512</v>
      </c>
      <c r="Q107" s="340">
        <f t="shared" si="72"/>
        <v>34.991268</v>
      </c>
      <c r="R107" s="340">
        <f t="shared" si="75"/>
        <v>25.3686693</v>
      </c>
      <c r="S107" s="341">
        <v>1</v>
      </c>
      <c r="T107" s="341">
        <v>0.828</v>
      </c>
      <c r="U107" s="338">
        <f t="shared" si="68"/>
        <v>528.7643733</v>
      </c>
      <c r="V107" s="342"/>
    </row>
    <row r="108" s="298" customFormat="1" ht="18" customHeight="1" spans="1:22">
      <c r="A108" s="333"/>
      <c r="B108" s="334" t="s">
        <v>170</v>
      </c>
      <c r="C108" s="335" t="s">
        <v>283</v>
      </c>
      <c r="D108" s="336">
        <v>38</v>
      </c>
      <c r="E108" s="337">
        <v>42</v>
      </c>
      <c r="F108" s="338">
        <f t="shared" si="66"/>
        <v>374.4669</v>
      </c>
      <c r="G108" s="339">
        <v>161.2932</v>
      </c>
      <c r="H108" s="339">
        <v>70.5624</v>
      </c>
      <c r="I108" s="339">
        <v>18.486</v>
      </c>
      <c r="J108" s="339">
        <v>6.1253</v>
      </c>
      <c r="K108" s="339"/>
      <c r="L108" s="339">
        <f t="shared" si="74"/>
        <v>118</v>
      </c>
      <c r="M108" s="339"/>
      <c r="N108" s="340">
        <f t="shared" si="67"/>
        <v>117.1247043</v>
      </c>
      <c r="O108" s="340">
        <f t="shared" si="70"/>
        <v>41.034704</v>
      </c>
      <c r="P108" s="340">
        <f t="shared" si="71"/>
        <v>20.517352</v>
      </c>
      <c r="Q108" s="340">
        <f t="shared" si="72"/>
        <v>30.776028</v>
      </c>
      <c r="R108" s="340">
        <f t="shared" si="75"/>
        <v>22.3126203</v>
      </c>
      <c r="S108" s="341">
        <v>3</v>
      </c>
      <c r="T108" s="341">
        <v>2.484</v>
      </c>
      <c r="U108" s="338">
        <f t="shared" si="68"/>
        <v>491.5916043</v>
      </c>
      <c r="V108" s="342"/>
    </row>
    <row r="109" s="298" customFormat="1" ht="18" customHeight="1" spans="1:22">
      <c r="A109" s="333"/>
      <c r="B109" s="334" t="s">
        <v>212</v>
      </c>
      <c r="C109" s="335" t="s">
        <v>284</v>
      </c>
      <c r="D109" s="336">
        <v>12</v>
      </c>
      <c r="E109" s="336">
        <v>4</v>
      </c>
      <c r="F109" s="338">
        <f t="shared" si="66"/>
        <v>106.8032</v>
      </c>
      <c r="G109" s="339">
        <v>49.0176</v>
      </c>
      <c r="H109" s="339">
        <v>23.1168</v>
      </c>
      <c r="I109" s="339">
        <v>4.0654</v>
      </c>
      <c r="J109" s="339">
        <v>2.6034</v>
      </c>
      <c r="K109" s="339"/>
      <c r="L109" s="339">
        <f t="shared" si="74"/>
        <v>28</v>
      </c>
      <c r="M109" s="339"/>
      <c r="N109" s="340">
        <f t="shared" si="67"/>
        <v>35.2250304</v>
      </c>
      <c r="O109" s="340">
        <f t="shared" si="70"/>
        <v>12.608512</v>
      </c>
      <c r="P109" s="340">
        <f t="shared" si="71"/>
        <v>6.304256</v>
      </c>
      <c r="Q109" s="340">
        <f t="shared" si="72"/>
        <v>9.456384</v>
      </c>
      <c r="R109" s="340">
        <f t="shared" si="75"/>
        <v>6.8558784</v>
      </c>
      <c r="S109" s="341"/>
      <c r="T109" s="341"/>
      <c r="U109" s="338">
        <f t="shared" si="68"/>
        <v>142.0282304</v>
      </c>
      <c r="V109" s="342"/>
    </row>
    <row r="110" s="299" customFormat="1" ht="18" customHeight="1" spans="1:22">
      <c r="A110" s="344">
        <v>115</v>
      </c>
      <c r="B110" s="345"/>
      <c r="C110" s="362" t="s">
        <v>285</v>
      </c>
      <c r="D110" s="336">
        <f>SUM(D111:D116)</f>
        <v>857</v>
      </c>
      <c r="E110" s="336">
        <f>SUM(E111:E116)</f>
        <v>550</v>
      </c>
      <c r="F110" s="338">
        <f t="shared" si="66"/>
        <v>8053.13887</v>
      </c>
      <c r="G110" s="339">
        <f t="shared" ref="G110:M110" si="76">SUM(G111:G116)</f>
        <v>3249.6008</v>
      </c>
      <c r="H110" s="339">
        <f t="shared" si="76"/>
        <v>1605.488</v>
      </c>
      <c r="I110" s="339">
        <f t="shared" si="76"/>
        <v>681.19807</v>
      </c>
      <c r="J110" s="339">
        <f t="shared" si="76"/>
        <v>16.852</v>
      </c>
      <c r="K110" s="339">
        <f t="shared" si="76"/>
        <v>236</v>
      </c>
      <c r="L110" s="339">
        <f t="shared" si="76"/>
        <v>2264</v>
      </c>
      <c r="M110" s="339">
        <f t="shared" si="76"/>
        <v>8.478</v>
      </c>
      <c r="N110" s="340">
        <f t="shared" si="67"/>
        <v>2538.46707489</v>
      </c>
      <c r="O110" s="340">
        <f t="shared" si="70"/>
        <v>888.5022192</v>
      </c>
      <c r="P110" s="340">
        <f t="shared" si="71"/>
        <v>444.2511096</v>
      </c>
      <c r="Q110" s="340">
        <f t="shared" si="72"/>
        <v>666.3766644</v>
      </c>
      <c r="R110" s="340">
        <f t="shared" si="75"/>
        <v>483.12308169</v>
      </c>
      <c r="S110" s="341">
        <f>SUM(S111:S116)</f>
        <v>71</v>
      </c>
      <c r="T110" s="341">
        <f>SUM(T111:T116)</f>
        <v>56.214</v>
      </c>
      <c r="U110" s="338">
        <f t="shared" si="68"/>
        <v>10591.60594489</v>
      </c>
      <c r="V110" s="347"/>
    </row>
    <row r="111" s="298" customFormat="1" ht="18.6" customHeight="1" spans="1:22">
      <c r="A111" s="333"/>
      <c r="B111" s="334" t="s">
        <v>170</v>
      </c>
      <c r="C111" s="296" t="s">
        <v>286</v>
      </c>
      <c r="D111" s="336">
        <v>44</v>
      </c>
      <c r="E111" s="336">
        <v>44</v>
      </c>
      <c r="F111" s="338">
        <f t="shared" si="66"/>
        <v>454.5343</v>
      </c>
      <c r="G111" s="339">
        <v>207.8136</v>
      </c>
      <c r="H111" s="339">
        <v>89.2236</v>
      </c>
      <c r="I111" s="339">
        <v>16.506</v>
      </c>
      <c r="J111" s="339">
        <v>8.9911</v>
      </c>
      <c r="K111" s="339"/>
      <c r="L111" s="339">
        <f t="shared" ref="L111:L116" si="77">D111*2+E111*1</f>
        <v>132</v>
      </c>
      <c r="M111" s="339">
        <v>3.678</v>
      </c>
      <c r="N111" s="340">
        <f t="shared" si="67"/>
        <v>149.3988321</v>
      </c>
      <c r="O111" s="340">
        <f t="shared" ref="O111:O117" si="78">(G111+H111+I111+J111)*0.16</f>
        <v>51.605488</v>
      </c>
      <c r="P111" s="340">
        <f t="shared" ref="P111:P118" si="79">(G111+H111+I111+J111)*0.08</f>
        <v>25.802744</v>
      </c>
      <c r="Q111" s="340">
        <f t="shared" ref="Q111:Q118" si="80">(G111+H111+I111+J111)*0.12</f>
        <v>38.704116</v>
      </c>
      <c r="R111" s="340">
        <f t="shared" si="75"/>
        <v>28.0604841</v>
      </c>
      <c r="S111" s="341">
        <v>7</v>
      </c>
      <c r="T111" s="341">
        <v>5.226</v>
      </c>
      <c r="U111" s="338">
        <f t="shared" si="68"/>
        <v>603.9331321</v>
      </c>
      <c r="V111" s="342"/>
    </row>
    <row r="112" s="299" customFormat="1" ht="18.6" customHeight="1" spans="1:22">
      <c r="A112" s="344"/>
      <c r="B112" s="345" t="s">
        <v>175</v>
      </c>
      <c r="C112" s="335" t="s">
        <v>287</v>
      </c>
      <c r="D112" s="343">
        <v>652</v>
      </c>
      <c r="E112" s="343">
        <v>432</v>
      </c>
      <c r="F112" s="353">
        <f t="shared" si="66"/>
        <v>6081.69257</v>
      </c>
      <c r="G112" s="339">
        <v>2338.82</v>
      </c>
      <c r="H112" s="339">
        <v>1217.6108</v>
      </c>
      <c r="I112" s="339">
        <v>553.26177</v>
      </c>
      <c r="J112" s="339"/>
      <c r="K112" s="339">
        <v>236</v>
      </c>
      <c r="L112" s="339">
        <f t="shared" si="77"/>
        <v>1736</v>
      </c>
      <c r="M112" s="339"/>
      <c r="N112" s="356">
        <f t="shared" si="67"/>
        <v>1884.22857879</v>
      </c>
      <c r="O112" s="356">
        <f t="shared" si="78"/>
        <v>657.5508112</v>
      </c>
      <c r="P112" s="356">
        <f t="shared" si="79"/>
        <v>328.7754056</v>
      </c>
      <c r="Q112" s="356">
        <f t="shared" si="80"/>
        <v>493.1631084</v>
      </c>
      <c r="R112" s="356">
        <f t="shared" si="75"/>
        <v>357.54325359</v>
      </c>
      <c r="S112" s="339">
        <v>57</v>
      </c>
      <c r="T112" s="373">
        <v>47.196</v>
      </c>
      <c r="U112" s="353">
        <f t="shared" si="68"/>
        <v>7965.92114879</v>
      </c>
      <c r="V112" s="347"/>
    </row>
    <row r="113" s="298" customFormat="1" ht="18" customHeight="1" spans="1:22">
      <c r="A113" s="333" t="s">
        <v>288</v>
      </c>
      <c r="B113" s="334" t="s">
        <v>175</v>
      </c>
      <c r="C113" s="335" t="s">
        <v>289</v>
      </c>
      <c r="D113" s="336">
        <v>62</v>
      </c>
      <c r="E113" s="336">
        <v>30</v>
      </c>
      <c r="F113" s="338">
        <f t="shared" si="66"/>
        <v>591.4852</v>
      </c>
      <c r="G113" s="339">
        <v>276.8052</v>
      </c>
      <c r="H113" s="339">
        <v>112.476</v>
      </c>
      <c r="I113" s="339">
        <v>48.204</v>
      </c>
      <c r="J113" s="339"/>
      <c r="K113" s="339"/>
      <c r="L113" s="339">
        <f t="shared" si="77"/>
        <v>154</v>
      </c>
      <c r="M113" s="339">
        <v>2.4</v>
      </c>
      <c r="N113" s="340">
        <f t="shared" si="67"/>
        <v>199.3478844</v>
      </c>
      <c r="O113" s="340">
        <f t="shared" si="78"/>
        <v>69.997632</v>
      </c>
      <c r="P113" s="340">
        <f t="shared" si="79"/>
        <v>34.998816</v>
      </c>
      <c r="Q113" s="340">
        <f t="shared" si="80"/>
        <v>52.498224</v>
      </c>
      <c r="R113" s="340">
        <f t="shared" si="75"/>
        <v>38.0612124</v>
      </c>
      <c r="S113" s="341">
        <v>7</v>
      </c>
      <c r="T113" s="341">
        <v>3.792</v>
      </c>
      <c r="U113" s="338">
        <f t="shared" si="68"/>
        <v>790.8330844</v>
      </c>
      <c r="V113" s="342"/>
    </row>
    <row r="114" s="298" customFormat="1" ht="18" customHeight="1" spans="1:22">
      <c r="A114" s="333">
        <v>113</v>
      </c>
      <c r="B114" s="334" t="s">
        <v>212</v>
      </c>
      <c r="C114" s="335" t="s">
        <v>290</v>
      </c>
      <c r="D114" s="336">
        <v>21</v>
      </c>
      <c r="E114" s="336">
        <v>3</v>
      </c>
      <c r="F114" s="338">
        <f t="shared" si="66"/>
        <v>188.77</v>
      </c>
      <c r="G114" s="339">
        <v>90.576</v>
      </c>
      <c r="H114" s="339">
        <v>43.0476</v>
      </c>
      <c r="I114" s="339">
        <v>3.7466</v>
      </c>
      <c r="J114" s="339">
        <v>6.3998</v>
      </c>
      <c r="K114" s="339"/>
      <c r="L114" s="339">
        <f t="shared" si="77"/>
        <v>45</v>
      </c>
      <c r="M114" s="339"/>
      <c r="N114" s="340">
        <f t="shared" si="67"/>
        <v>64.26519</v>
      </c>
      <c r="O114" s="340">
        <f t="shared" si="78"/>
        <v>23.0032</v>
      </c>
      <c r="P114" s="340">
        <f t="shared" si="79"/>
        <v>11.5016</v>
      </c>
      <c r="Q114" s="340">
        <f t="shared" si="80"/>
        <v>17.2524</v>
      </c>
      <c r="R114" s="340">
        <f t="shared" si="75"/>
        <v>12.50799</v>
      </c>
      <c r="S114" s="341"/>
      <c r="T114" s="341"/>
      <c r="U114" s="338">
        <f t="shared" si="68"/>
        <v>253.03519</v>
      </c>
      <c r="V114" s="342"/>
    </row>
    <row r="115" s="298" customFormat="1" ht="18" customHeight="1" spans="1:22">
      <c r="A115" s="333">
        <v>112</v>
      </c>
      <c r="B115" s="334" t="s">
        <v>291</v>
      </c>
      <c r="C115" s="335" t="s">
        <v>292</v>
      </c>
      <c r="D115" s="336">
        <v>76</v>
      </c>
      <c r="E115" s="336">
        <v>38</v>
      </c>
      <c r="F115" s="338">
        <f t="shared" si="66"/>
        <v>715.4649</v>
      </c>
      <c r="G115" s="339">
        <v>327.1992</v>
      </c>
      <c r="H115" s="339">
        <v>138.786</v>
      </c>
      <c r="I115" s="339">
        <v>59.4797</v>
      </c>
      <c r="J115" s="339"/>
      <c r="K115" s="339"/>
      <c r="L115" s="339">
        <f t="shared" si="77"/>
        <v>190</v>
      </c>
      <c r="M115" s="339">
        <v>2.4</v>
      </c>
      <c r="N115" s="340">
        <f t="shared" si="67"/>
        <v>234.8828103</v>
      </c>
      <c r="O115" s="340">
        <f t="shared" si="78"/>
        <v>84.074384</v>
      </c>
      <c r="P115" s="340">
        <f t="shared" si="79"/>
        <v>42.037192</v>
      </c>
      <c r="Q115" s="340">
        <f t="shared" si="80"/>
        <v>63.055788</v>
      </c>
      <c r="R115" s="340">
        <f t="shared" si="75"/>
        <v>45.7154463</v>
      </c>
      <c r="S115" s="341"/>
      <c r="T115" s="341"/>
      <c r="U115" s="338">
        <f t="shared" si="68"/>
        <v>950.3477103</v>
      </c>
      <c r="V115" s="342"/>
    </row>
    <row r="116" s="298" customFormat="1" ht="18" customHeight="1" spans="1:22">
      <c r="A116" s="333"/>
      <c r="B116" s="334" t="s">
        <v>212</v>
      </c>
      <c r="C116" s="296" t="s">
        <v>293</v>
      </c>
      <c r="D116" s="336">
        <v>2</v>
      </c>
      <c r="E116" s="336">
        <v>3</v>
      </c>
      <c r="F116" s="338">
        <f t="shared" si="66"/>
        <v>21.1919</v>
      </c>
      <c r="G116" s="339">
        <v>8.3868</v>
      </c>
      <c r="H116" s="339">
        <v>4.344</v>
      </c>
      <c r="I116" s="339"/>
      <c r="J116" s="339">
        <v>1.4611</v>
      </c>
      <c r="K116" s="339"/>
      <c r="L116" s="339">
        <f t="shared" si="77"/>
        <v>7</v>
      </c>
      <c r="M116" s="339"/>
      <c r="N116" s="340">
        <f t="shared" ref="N116:N122" si="81">O116+P116+T116+R116+Q116</f>
        <v>6.3437793</v>
      </c>
      <c r="O116" s="340">
        <f t="shared" si="78"/>
        <v>2.270704</v>
      </c>
      <c r="P116" s="340">
        <f t="shared" si="79"/>
        <v>1.135352</v>
      </c>
      <c r="Q116" s="340">
        <f t="shared" si="80"/>
        <v>1.703028</v>
      </c>
      <c r="R116" s="340">
        <f t="shared" si="75"/>
        <v>1.2346953</v>
      </c>
      <c r="S116" s="341"/>
      <c r="T116" s="341"/>
      <c r="U116" s="338">
        <f t="shared" ref="U116:U126" si="82">F116+N116</f>
        <v>27.5356793</v>
      </c>
      <c r="V116" s="342"/>
    </row>
    <row r="117" s="299" customFormat="1" ht="18" customHeight="1" spans="1:22">
      <c r="A117" s="344"/>
      <c r="B117" s="345"/>
      <c r="C117" s="362" t="s">
        <v>294</v>
      </c>
      <c r="D117" s="336">
        <f>D118</f>
        <v>3</v>
      </c>
      <c r="E117" s="336">
        <f>E118</f>
        <v>16</v>
      </c>
      <c r="F117" s="338">
        <f t="shared" si="66"/>
        <v>39.0628</v>
      </c>
      <c r="G117" s="339">
        <f t="shared" ref="G117:L117" si="83">G118</f>
        <v>10.5708</v>
      </c>
      <c r="H117" s="339">
        <f t="shared" si="83"/>
        <v>5.142</v>
      </c>
      <c r="I117" s="339">
        <f t="shared" si="83"/>
        <v>1.35</v>
      </c>
      <c r="J117" s="339">
        <f t="shared" si="83"/>
        <v>0</v>
      </c>
      <c r="K117" s="339">
        <f t="shared" si="83"/>
        <v>0</v>
      </c>
      <c r="L117" s="339">
        <f t="shared" si="83"/>
        <v>22</v>
      </c>
      <c r="M117" s="339"/>
      <c r="N117" s="340">
        <f>N118</f>
        <v>8.4550716</v>
      </c>
      <c r="O117" s="340">
        <f t="shared" si="78"/>
        <v>2.730048</v>
      </c>
      <c r="P117" s="340">
        <f t="shared" si="79"/>
        <v>1.365024</v>
      </c>
      <c r="Q117" s="340">
        <f t="shared" si="80"/>
        <v>2.047536</v>
      </c>
      <c r="R117" s="340">
        <f t="shared" si="75"/>
        <v>1.4844636</v>
      </c>
      <c r="S117" s="341">
        <f>S118</f>
        <v>1</v>
      </c>
      <c r="T117" s="341">
        <f>T118</f>
        <v>0.828</v>
      </c>
      <c r="U117" s="338">
        <f t="shared" si="82"/>
        <v>47.5178716</v>
      </c>
      <c r="V117" s="347"/>
    </row>
    <row r="118" s="298" customFormat="1" ht="18" customHeight="1" spans="1:22">
      <c r="A118" s="333"/>
      <c r="B118" s="334" t="s">
        <v>170</v>
      </c>
      <c r="C118" s="296" t="s">
        <v>295</v>
      </c>
      <c r="D118" s="336">
        <v>3</v>
      </c>
      <c r="E118" s="343">
        <v>16</v>
      </c>
      <c r="F118" s="338">
        <f t="shared" si="66"/>
        <v>39.0628</v>
      </c>
      <c r="G118" s="339">
        <v>10.5708</v>
      </c>
      <c r="H118" s="339">
        <v>5.142</v>
      </c>
      <c r="I118" s="339">
        <v>1.35</v>
      </c>
      <c r="J118" s="339"/>
      <c r="K118" s="339"/>
      <c r="L118" s="339">
        <f>D118*2+E118*1</f>
        <v>22</v>
      </c>
      <c r="M118" s="339"/>
      <c r="N118" s="340">
        <f t="shared" si="81"/>
        <v>8.4550716</v>
      </c>
      <c r="O118" s="340">
        <f t="shared" ref="O118:O145" si="84">(G118+H118+I118+J118)*0.16</f>
        <v>2.730048</v>
      </c>
      <c r="P118" s="340">
        <f t="shared" si="79"/>
        <v>1.365024</v>
      </c>
      <c r="Q118" s="340">
        <f t="shared" si="80"/>
        <v>2.047536</v>
      </c>
      <c r="R118" s="340">
        <f t="shared" si="75"/>
        <v>1.4844636</v>
      </c>
      <c r="S118" s="341">
        <v>1</v>
      </c>
      <c r="T118" s="374">
        <v>0.828</v>
      </c>
      <c r="U118" s="338">
        <f t="shared" si="82"/>
        <v>47.5178716</v>
      </c>
      <c r="V118" s="342" t="s">
        <v>296</v>
      </c>
    </row>
    <row r="119" s="299" customFormat="1" ht="18" customHeight="1" spans="1:22">
      <c r="A119" s="344">
        <v>75</v>
      </c>
      <c r="B119" s="345"/>
      <c r="C119" s="362" t="s">
        <v>297</v>
      </c>
      <c r="D119" s="336">
        <f>SUM(D120,D128)</f>
        <v>259</v>
      </c>
      <c r="E119" s="336">
        <f>SUM(E120,E128)</f>
        <v>117</v>
      </c>
      <c r="F119" s="338">
        <f t="shared" si="66"/>
        <v>2299.11032</v>
      </c>
      <c r="G119" s="339">
        <f t="shared" ref="G119:M119" si="85">SUM(G120,G128)</f>
        <v>1036.1386</v>
      </c>
      <c r="H119" s="339">
        <f t="shared" si="85"/>
        <v>477.3084</v>
      </c>
      <c r="I119" s="339">
        <f t="shared" si="85"/>
        <v>120.20652</v>
      </c>
      <c r="J119" s="339">
        <f t="shared" si="85"/>
        <v>30.4568</v>
      </c>
      <c r="K119" s="339">
        <f t="shared" si="85"/>
        <v>0</v>
      </c>
      <c r="L119" s="339">
        <f t="shared" si="85"/>
        <v>635</v>
      </c>
      <c r="M119" s="339">
        <f t="shared" si="85"/>
        <v>3.3552</v>
      </c>
      <c r="N119" s="340">
        <f t="shared" si="81"/>
        <v>746.85131304</v>
      </c>
      <c r="O119" s="340">
        <f t="shared" si="84"/>
        <v>266.2576512</v>
      </c>
      <c r="P119" s="340">
        <f t="shared" ref="P119:P128" si="86">(G119+H119+I119+J119)*0.08</f>
        <v>133.1288256</v>
      </c>
      <c r="Q119" s="340">
        <f t="shared" ref="Q119:Q128" si="87">(G119+H119+I119+J119)*0.12</f>
        <v>199.6932384</v>
      </c>
      <c r="R119" s="340">
        <f t="shared" ref="R119:R128" si="88">(G119+H119+I119+J119)*0.087</f>
        <v>144.77759784</v>
      </c>
      <c r="S119" s="341">
        <f>SUM(S120,S128)</f>
        <v>4</v>
      </c>
      <c r="T119" s="341">
        <f>SUM(T120,T128)</f>
        <v>2.994</v>
      </c>
      <c r="U119" s="338">
        <f t="shared" si="82"/>
        <v>3045.96163304</v>
      </c>
      <c r="V119" s="347"/>
    </row>
    <row r="120" s="299" customFormat="1" ht="18" customHeight="1" spans="1:22">
      <c r="A120" s="344"/>
      <c r="B120" s="345"/>
      <c r="C120" s="296" t="s">
        <v>298</v>
      </c>
      <c r="D120" s="336">
        <f>SUM(D121:D127)</f>
        <v>195</v>
      </c>
      <c r="E120" s="336">
        <f>SUM(E121:E127)</f>
        <v>75</v>
      </c>
      <c r="F120" s="338">
        <f t="shared" si="66"/>
        <v>1735.78152</v>
      </c>
      <c r="G120" s="359">
        <f t="shared" ref="G120:M120" si="89">SUM(G121:G127)</f>
        <v>792.0298</v>
      </c>
      <c r="H120" s="339">
        <f t="shared" si="89"/>
        <v>372.8544</v>
      </c>
      <c r="I120" s="339">
        <f t="shared" si="89"/>
        <v>75.44052</v>
      </c>
      <c r="J120" s="339">
        <f t="shared" si="89"/>
        <v>30.4568</v>
      </c>
      <c r="K120" s="339">
        <f t="shared" si="89"/>
        <v>0</v>
      </c>
      <c r="L120" s="339">
        <f t="shared" si="89"/>
        <v>465</v>
      </c>
      <c r="M120" s="339">
        <f t="shared" si="89"/>
        <v>3.3552</v>
      </c>
      <c r="N120" s="340">
        <f t="shared" si="81"/>
        <v>568.54933944</v>
      </c>
      <c r="O120" s="340">
        <f t="shared" si="84"/>
        <v>203.3250432</v>
      </c>
      <c r="P120" s="340">
        <f t="shared" si="86"/>
        <v>101.6625216</v>
      </c>
      <c r="Q120" s="340">
        <f t="shared" si="87"/>
        <v>152.4937824</v>
      </c>
      <c r="R120" s="340">
        <f t="shared" si="88"/>
        <v>110.55799224</v>
      </c>
      <c r="S120" s="341">
        <f>SUM(S121,S127)</f>
        <v>1</v>
      </c>
      <c r="T120" s="341">
        <f>SUM(T121,T127)</f>
        <v>0.51</v>
      </c>
      <c r="U120" s="338">
        <f t="shared" si="82"/>
        <v>2304.33085944</v>
      </c>
      <c r="V120" s="347"/>
    </row>
    <row r="121" s="298" customFormat="1" ht="18" customHeight="1" spans="1:22">
      <c r="A121" s="333"/>
      <c r="B121" s="334" t="s">
        <v>170</v>
      </c>
      <c r="C121" s="348" t="s">
        <v>299</v>
      </c>
      <c r="D121" s="336">
        <v>32</v>
      </c>
      <c r="E121" s="336">
        <v>24</v>
      </c>
      <c r="F121" s="338">
        <f t="shared" si="66"/>
        <v>307.4307</v>
      </c>
      <c r="G121" s="339">
        <v>136.1028</v>
      </c>
      <c r="H121" s="339">
        <v>63.828</v>
      </c>
      <c r="I121" s="339">
        <v>12.6848</v>
      </c>
      <c r="J121" s="339">
        <v>6.8151</v>
      </c>
      <c r="K121" s="339"/>
      <c r="L121" s="339">
        <f>D121*2+E121*1</f>
        <v>88</v>
      </c>
      <c r="M121" s="339"/>
      <c r="N121" s="340">
        <f t="shared" si="81"/>
        <v>98.5955229</v>
      </c>
      <c r="O121" s="340">
        <f t="shared" si="84"/>
        <v>35.108912</v>
      </c>
      <c r="P121" s="340">
        <f t="shared" si="86"/>
        <v>17.554456</v>
      </c>
      <c r="Q121" s="340">
        <f t="shared" si="87"/>
        <v>26.331684</v>
      </c>
      <c r="R121" s="340">
        <f t="shared" si="88"/>
        <v>19.0904709</v>
      </c>
      <c r="S121" s="341">
        <v>1</v>
      </c>
      <c r="T121" s="341">
        <v>0.51</v>
      </c>
      <c r="U121" s="338">
        <f t="shared" si="82"/>
        <v>406.0262229</v>
      </c>
      <c r="V121" s="342"/>
    </row>
    <row r="122" s="298" customFormat="1" ht="18" customHeight="1" spans="1:22">
      <c r="A122" s="333"/>
      <c r="B122" s="334" t="s">
        <v>175</v>
      </c>
      <c r="C122" s="348" t="s">
        <v>300</v>
      </c>
      <c r="D122" s="336">
        <v>31</v>
      </c>
      <c r="E122" s="336">
        <v>27</v>
      </c>
      <c r="F122" s="338">
        <f t="shared" si="66"/>
        <v>288.7177</v>
      </c>
      <c r="G122" s="339">
        <v>125.052</v>
      </c>
      <c r="H122" s="339">
        <v>52.266</v>
      </c>
      <c r="I122" s="339">
        <v>22.3997</v>
      </c>
      <c r="J122" s="339"/>
      <c r="K122" s="339"/>
      <c r="L122" s="339">
        <f t="shared" ref="L122:L128" si="90">D122*2+E122*1</f>
        <v>89</v>
      </c>
      <c r="M122" s="339">
        <v>3.3552</v>
      </c>
      <c r="N122" s="340">
        <f t="shared" si="81"/>
        <v>89.2738119</v>
      </c>
      <c r="O122" s="340">
        <f t="shared" si="84"/>
        <v>31.954832</v>
      </c>
      <c r="P122" s="340">
        <f t="shared" si="86"/>
        <v>15.977416</v>
      </c>
      <c r="Q122" s="340">
        <f t="shared" si="87"/>
        <v>23.966124</v>
      </c>
      <c r="R122" s="340">
        <f t="shared" si="88"/>
        <v>17.3754399</v>
      </c>
      <c r="S122" s="341"/>
      <c r="T122" s="341"/>
      <c r="U122" s="338">
        <f t="shared" si="82"/>
        <v>377.9915119</v>
      </c>
      <c r="V122" s="342"/>
    </row>
    <row r="123" s="298" customFormat="1" ht="18" customHeight="1" spans="1:22">
      <c r="A123" s="333">
        <v>126</v>
      </c>
      <c r="B123" s="334" t="s">
        <v>170</v>
      </c>
      <c r="C123" s="349" t="s">
        <v>301</v>
      </c>
      <c r="D123" s="336">
        <v>15</v>
      </c>
      <c r="E123" s="336">
        <v>3</v>
      </c>
      <c r="F123" s="338">
        <f t="shared" ref="F123:F140" si="91">SUM(G123:L123)</f>
        <v>139.6467</v>
      </c>
      <c r="G123" s="339">
        <v>67.1172</v>
      </c>
      <c r="H123" s="339">
        <v>32.7132</v>
      </c>
      <c r="I123" s="339">
        <v>1.9466</v>
      </c>
      <c r="J123" s="339">
        <v>4.8697</v>
      </c>
      <c r="K123" s="339"/>
      <c r="L123" s="339">
        <f t="shared" si="90"/>
        <v>33</v>
      </c>
      <c r="M123" s="339"/>
      <c r="N123" s="340">
        <f t="shared" ref="N123:N129" si="92">O123+P123+T123+R123+Q123</f>
        <v>47.6710749</v>
      </c>
      <c r="O123" s="340">
        <f t="shared" si="84"/>
        <v>17.063472</v>
      </c>
      <c r="P123" s="340">
        <f t="shared" si="86"/>
        <v>8.531736</v>
      </c>
      <c r="Q123" s="340">
        <f t="shared" si="87"/>
        <v>12.797604</v>
      </c>
      <c r="R123" s="340">
        <f t="shared" si="88"/>
        <v>9.2782629</v>
      </c>
      <c r="S123" s="341"/>
      <c r="T123" s="341"/>
      <c r="U123" s="338">
        <f t="shared" si="82"/>
        <v>187.3177749</v>
      </c>
      <c r="V123" s="342"/>
    </row>
    <row r="124" s="298" customFormat="1" ht="18" customHeight="1" spans="1:22">
      <c r="A124" s="333"/>
      <c r="B124" s="334" t="s">
        <v>175</v>
      </c>
      <c r="C124" s="349" t="s">
        <v>302</v>
      </c>
      <c r="D124" s="336">
        <v>9</v>
      </c>
      <c r="E124" s="336">
        <v>1</v>
      </c>
      <c r="F124" s="338">
        <f t="shared" si="91"/>
        <v>79.80126</v>
      </c>
      <c r="G124" s="339">
        <v>38.8584</v>
      </c>
      <c r="H124" s="339">
        <v>15.36</v>
      </c>
      <c r="I124" s="339">
        <v>6.58286</v>
      </c>
      <c r="J124" s="339"/>
      <c r="K124" s="339"/>
      <c r="L124" s="339">
        <f t="shared" si="90"/>
        <v>19</v>
      </c>
      <c r="M124" s="339"/>
      <c r="N124" s="340">
        <f t="shared" si="92"/>
        <v>27.17816322</v>
      </c>
      <c r="O124" s="340">
        <f t="shared" si="84"/>
        <v>9.7282016</v>
      </c>
      <c r="P124" s="340">
        <f t="shared" si="86"/>
        <v>4.8641008</v>
      </c>
      <c r="Q124" s="340">
        <f t="shared" si="87"/>
        <v>7.2961512</v>
      </c>
      <c r="R124" s="340">
        <f t="shared" si="88"/>
        <v>5.28970962</v>
      </c>
      <c r="S124" s="341"/>
      <c r="T124" s="341"/>
      <c r="U124" s="338">
        <f t="shared" si="82"/>
        <v>106.97942322</v>
      </c>
      <c r="V124" s="342"/>
    </row>
    <row r="125" s="298" customFormat="1" ht="18" customHeight="1" spans="1:22">
      <c r="A125" s="333"/>
      <c r="B125" s="334" t="s">
        <v>291</v>
      </c>
      <c r="C125" s="348" t="s">
        <v>303</v>
      </c>
      <c r="D125" s="336">
        <v>21</v>
      </c>
      <c r="E125" s="336">
        <v>7</v>
      </c>
      <c r="F125" s="338">
        <f t="shared" si="91"/>
        <v>206.5281</v>
      </c>
      <c r="G125" s="339">
        <v>101.5224</v>
      </c>
      <c r="H125" s="339">
        <v>39.204</v>
      </c>
      <c r="I125" s="339">
        <v>16.8017</v>
      </c>
      <c r="J125" s="339"/>
      <c r="K125" s="339"/>
      <c r="L125" s="339">
        <f t="shared" si="90"/>
        <v>49</v>
      </c>
      <c r="M125" s="339"/>
      <c r="N125" s="340">
        <f t="shared" si="92"/>
        <v>70.4150607</v>
      </c>
      <c r="O125" s="340">
        <f t="shared" si="84"/>
        <v>25.204496</v>
      </c>
      <c r="P125" s="340">
        <f t="shared" si="86"/>
        <v>12.602248</v>
      </c>
      <c r="Q125" s="340">
        <f t="shared" si="87"/>
        <v>18.903372</v>
      </c>
      <c r="R125" s="340">
        <f t="shared" si="88"/>
        <v>13.7049447</v>
      </c>
      <c r="S125" s="341"/>
      <c r="T125" s="341"/>
      <c r="U125" s="338">
        <f t="shared" si="82"/>
        <v>276.9431607</v>
      </c>
      <c r="V125" s="342"/>
    </row>
    <row r="126" s="298" customFormat="1" ht="18" customHeight="1" spans="1:22">
      <c r="A126" s="333"/>
      <c r="B126" s="334" t="s">
        <v>291</v>
      </c>
      <c r="C126" s="349" t="s">
        <v>304</v>
      </c>
      <c r="D126" s="336">
        <v>21</v>
      </c>
      <c r="E126" s="336"/>
      <c r="F126" s="338">
        <f t="shared" si="91"/>
        <v>171.60446</v>
      </c>
      <c r="G126" s="339">
        <v>79.5216</v>
      </c>
      <c r="H126" s="339">
        <v>35.058</v>
      </c>
      <c r="I126" s="339">
        <v>15.02486</v>
      </c>
      <c r="J126" s="339"/>
      <c r="K126" s="339"/>
      <c r="L126" s="339">
        <f t="shared" si="90"/>
        <v>42</v>
      </c>
      <c r="M126" s="339"/>
      <c r="N126" s="340">
        <f t="shared" si="92"/>
        <v>57.93319362</v>
      </c>
      <c r="O126" s="340">
        <f t="shared" si="84"/>
        <v>20.7367136</v>
      </c>
      <c r="P126" s="340">
        <f t="shared" si="86"/>
        <v>10.3683568</v>
      </c>
      <c r="Q126" s="340">
        <f t="shared" si="87"/>
        <v>15.5525352</v>
      </c>
      <c r="R126" s="340">
        <f t="shared" si="88"/>
        <v>11.27558802</v>
      </c>
      <c r="S126" s="341"/>
      <c r="T126" s="341"/>
      <c r="U126" s="338">
        <f t="shared" si="82"/>
        <v>229.53765362</v>
      </c>
      <c r="V126" s="342"/>
    </row>
    <row r="127" s="298" customFormat="1" ht="18" customHeight="1" spans="1:22">
      <c r="A127" s="333">
        <v>122</v>
      </c>
      <c r="B127" s="334" t="s">
        <v>170</v>
      </c>
      <c r="C127" s="349" t="s">
        <v>305</v>
      </c>
      <c r="D127" s="336">
        <v>66</v>
      </c>
      <c r="E127" s="336">
        <v>13</v>
      </c>
      <c r="F127" s="338">
        <f t="shared" si="91"/>
        <v>542.0526</v>
      </c>
      <c r="G127" s="339">
        <v>243.8554</v>
      </c>
      <c r="H127" s="339">
        <v>134.4252</v>
      </c>
      <c r="I127" s="339"/>
      <c r="J127" s="339">
        <v>18.772</v>
      </c>
      <c r="K127" s="339"/>
      <c r="L127" s="339">
        <f t="shared" si="90"/>
        <v>145</v>
      </c>
      <c r="M127" s="339"/>
      <c r="N127" s="340">
        <f t="shared" si="92"/>
        <v>177.4825122</v>
      </c>
      <c r="O127" s="340">
        <f t="shared" si="84"/>
        <v>63.528416</v>
      </c>
      <c r="P127" s="340">
        <f t="shared" si="86"/>
        <v>31.764208</v>
      </c>
      <c r="Q127" s="340">
        <f t="shared" si="87"/>
        <v>47.646312</v>
      </c>
      <c r="R127" s="340">
        <f t="shared" si="88"/>
        <v>34.5435762</v>
      </c>
      <c r="S127" s="341"/>
      <c r="T127" s="341"/>
      <c r="U127" s="338">
        <f t="shared" ref="U127:U148" si="93">F127+N127</f>
        <v>719.5351122</v>
      </c>
      <c r="V127" s="342"/>
    </row>
    <row r="128" s="298" customFormat="1" ht="18" customHeight="1" spans="1:22">
      <c r="A128" s="333">
        <v>123</v>
      </c>
      <c r="B128" s="334" t="s">
        <v>291</v>
      </c>
      <c r="C128" s="375" t="s">
        <v>306</v>
      </c>
      <c r="D128" s="336">
        <v>64</v>
      </c>
      <c r="E128" s="343">
        <v>42</v>
      </c>
      <c r="F128" s="338">
        <f t="shared" si="91"/>
        <v>563.3288</v>
      </c>
      <c r="G128" s="339">
        <v>244.1088</v>
      </c>
      <c r="H128" s="339">
        <v>104.454</v>
      </c>
      <c r="I128" s="339">
        <v>44.766</v>
      </c>
      <c r="J128" s="339"/>
      <c r="K128" s="339"/>
      <c r="L128" s="339">
        <f t="shared" si="90"/>
        <v>170</v>
      </c>
      <c r="M128" s="339"/>
      <c r="N128" s="340">
        <f t="shared" si="92"/>
        <v>178.3019736</v>
      </c>
      <c r="O128" s="340">
        <f t="shared" si="84"/>
        <v>62.932608</v>
      </c>
      <c r="P128" s="340">
        <f t="shared" si="86"/>
        <v>31.466304</v>
      </c>
      <c r="Q128" s="340">
        <f t="shared" si="87"/>
        <v>47.199456</v>
      </c>
      <c r="R128" s="340">
        <f t="shared" si="88"/>
        <v>34.2196056</v>
      </c>
      <c r="S128" s="341">
        <v>3</v>
      </c>
      <c r="T128" s="341">
        <v>2.484</v>
      </c>
      <c r="U128" s="338">
        <f t="shared" si="93"/>
        <v>741.6307736</v>
      </c>
      <c r="V128" s="342"/>
    </row>
    <row r="129" s="299" customFormat="1" ht="18" customHeight="1" spans="1:22">
      <c r="A129" s="344"/>
      <c r="B129" s="345"/>
      <c r="C129" s="362" t="s">
        <v>307</v>
      </c>
      <c r="D129" s="336">
        <f>D130+D139+D144</f>
        <v>848</v>
      </c>
      <c r="E129" s="336">
        <f>E130+E139+E144</f>
        <v>868</v>
      </c>
      <c r="F129" s="338">
        <f t="shared" si="91"/>
        <v>7664.84819</v>
      </c>
      <c r="G129" s="339">
        <f t="shared" ref="G129:M129" si="94">G130+G139+G144</f>
        <v>3324.7806</v>
      </c>
      <c r="H129" s="339">
        <f t="shared" si="94"/>
        <v>1318.7454</v>
      </c>
      <c r="I129" s="339">
        <f t="shared" si="94"/>
        <v>405.09529</v>
      </c>
      <c r="J129" s="339">
        <f t="shared" si="94"/>
        <v>64.2409</v>
      </c>
      <c r="K129" s="339">
        <f t="shared" si="94"/>
        <v>275.986</v>
      </c>
      <c r="L129" s="339">
        <f t="shared" si="94"/>
        <v>2276</v>
      </c>
      <c r="M129" s="339">
        <f t="shared" si="94"/>
        <v>5.982</v>
      </c>
      <c r="N129" s="340">
        <f t="shared" si="92"/>
        <v>2233.90394403</v>
      </c>
      <c r="O129" s="340">
        <f>O130+O139+O144</f>
        <v>777.9000784</v>
      </c>
      <c r="P129" s="340">
        <f t="shared" ref="P129:T129" si="95">P130+P139+P144</f>
        <v>388.9500392</v>
      </c>
      <c r="Q129" s="340">
        <f t="shared" si="95"/>
        <v>583.4250588</v>
      </c>
      <c r="R129" s="340">
        <f t="shared" si="95"/>
        <v>422.98316763</v>
      </c>
      <c r="S129" s="341">
        <f t="shared" si="95"/>
        <v>86</v>
      </c>
      <c r="T129" s="341">
        <f t="shared" si="95"/>
        <v>60.6456</v>
      </c>
      <c r="U129" s="338">
        <f t="shared" si="93"/>
        <v>9898.75213403</v>
      </c>
      <c r="V129" s="347"/>
    </row>
    <row r="130" s="299" customFormat="1" ht="18" customHeight="1" spans="1:22">
      <c r="A130" s="344"/>
      <c r="B130" s="345"/>
      <c r="C130" s="296" t="s">
        <v>308</v>
      </c>
      <c r="D130" s="336">
        <f>SUM(D131:D137)</f>
        <v>301</v>
      </c>
      <c r="E130" s="336">
        <f>SUM(E131:E137)</f>
        <v>319</v>
      </c>
      <c r="F130" s="338">
        <f t="shared" si="91"/>
        <v>3048.412</v>
      </c>
      <c r="G130" s="339">
        <f t="shared" ref="G130:M130" si="96">SUM(G131:G137)</f>
        <v>1342.2024</v>
      </c>
      <c r="H130" s="339">
        <f t="shared" si="96"/>
        <v>587.4636</v>
      </c>
      <c r="I130" s="339">
        <f t="shared" si="96"/>
        <v>131.1286</v>
      </c>
      <c r="J130" s="339">
        <f t="shared" si="96"/>
        <v>48.1494</v>
      </c>
      <c r="K130" s="339">
        <f t="shared" si="96"/>
        <v>18.468</v>
      </c>
      <c r="L130" s="339">
        <f t="shared" si="96"/>
        <v>921</v>
      </c>
      <c r="M130" s="339">
        <f t="shared" si="96"/>
        <v>5.982</v>
      </c>
      <c r="N130" s="341">
        <f t="shared" ref="N130:T130" si="97">SUM(N131:N137)</f>
        <v>963.517968</v>
      </c>
      <c r="O130" s="340">
        <f t="shared" si="84"/>
        <v>337.43104</v>
      </c>
      <c r="P130" s="341">
        <f t="shared" si="97"/>
        <v>168.71552</v>
      </c>
      <c r="Q130" s="341">
        <f t="shared" si="97"/>
        <v>253.07328</v>
      </c>
      <c r="R130" s="341">
        <f t="shared" si="97"/>
        <v>183.478128</v>
      </c>
      <c r="S130" s="341">
        <f t="shared" si="97"/>
        <v>29</v>
      </c>
      <c r="T130" s="341">
        <f t="shared" si="97"/>
        <v>20.82</v>
      </c>
      <c r="U130" s="338">
        <f t="shared" si="93"/>
        <v>4011.929968</v>
      </c>
      <c r="V130" s="347"/>
    </row>
    <row r="131" s="298" customFormat="1" ht="18" customHeight="1" spans="1:22">
      <c r="A131" s="333"/>
      <c r="B131" s="334" t="s">
        <v>170</v>
      </c>
      <c r="C131" s="348" t="s">
        <v>309</v>
      </c>
      <c r="D131" s="376">
        <v>159</v>
      </c>
      <c r="E131" s="336">
        <v>134</v>
      </c>
      <c r="F131" s="338">
        <f t="shared" si="91"/>
        <v>1599.7063</v>
      </c>
      <c r="G131" s="357">
        <v>733.1448</v>
      </c>
      <c r="H131" s="339">
        <v>321.0816</v>
      </c>
      <c r="I131" s="339">
        <v>63.252</v>
      </c>
      <c r="J131" s="339">
        <v>30.2279</v>
      </c>
      <c r="K131" s="339"/>
      <c r="L131" s="339">
        <f>D131*2+E131*1</f>
        <v>452</v>
      </c>
      <c r="M131" s="339">
        <v>5.982</v>
      </c>
      <c r="N131" s="340">
        <f t="shared" ref="N131:N138" si="98">O131+P131+T131+R131+Q131</f>
        <v>529.1647161</v>
      </c>
      <c r="O131" s="340">
        <f t="shared" si="84"/>
        <v>183.633008</v>
      </c>
      <c r="P131" s="340">
        <f>(G131+H131+I131+J131)*0.08</f>
        <v>91.816504</v>
      </c>
      <c r="Q131" s="340">
        <f>(G131+H131+I131+J131)*0.12</f>
        <v>137.724756</v>
      </c>
      <c r="R131" s="340">
        <f t="shared" si="75"/>
        <v>99.8504481</v>
      </c>
      <c r="S131" s="372">
        <v>21</v>
      </c>
      <c r="T131" s="377">
        <v>16.14</v>
      </c>
      <c r="U131" s="338">
        <f t="shared" si="93"/>
        <v>2128.8710161</v>
      </c>
      <c r="V131" s="333"/>
    </row>
    <row r="132" s="299" customFormat="1" ht="18" customHeight="1" spans="1:22">
      <c r="A132" s="344"/>
      <c r="B132" s="345" t="s">
        <v>291</v>
      </c>
      <c r="C132" s="378" t="s">
        <v>310</v>
      </c>
      <c r="D132" s="343">
        <v>38</v>
      </c>
      <c r="E132" s="343">
        <v>37</v>
      </c>
      <c r="F132" s="338">
        <f t="shared" si="91"/>
        <v>372.4904</v>
      </c>
      <c r="G132" s="339">
        <v>167.1252</v>
      </c>
      <c r="H132" s="339">
        <v>64.644</v>
      </c>
      <c r="I132" s="339">
        <v>27.7212</v>
      </c>
      <c r="J132" s="339"/>
      <c r="K132" s="339"/>
      <c r="L132" s="339">
        <f t="shared" ref="L132:L137" si="99">D132*2+E132*1</f>
        <v>113</v>
      </c>
      <c r="M132" s="339"/>
      <c r="N132" s="340">
        <f t="shared" si="98"/>
        <v>116.8202088</v>
      </c>
      <c r="O132" s="340">
        <f t="shared" si="84"/>
        <v>41.518464</v>
      </c>
      <c r="P132" s="340">
        <f t="shared" ref="P132:P138" si="100">(G132+H132+I132+J132)*0.08</f>
        <v>20.759232</v>
      </c>
      <c r="Q132" s="340">
        <f t="shared" ref="Q132:Q138" si="101">(G132+H132+I132+J132)*0.12</f>
        <v>31.138848</v>
      </c>
      <c r="R132" s="340">
        <f t="shared" si="75"/>
        <v>22.5756648</v>
      </c>
      <c r="S132" s="372">
        <v>1</v>
      </c>
      <c r="T132" s="372">
        <v>0.828</v>
      </c>
      <c r="U132" s="338">
        <f t="shared" si="93"/>
        <v>489.3106088</v>
      </c>
      <c r="V132" s="347"/>
    </row>
    <row r="133" s="298" customFormat="1" ht="18" customHeight="1" spans="1:22">
      <c r="A133" s="333">
        <v>66</v>
      </c>
      <c r="B133" s="334" t="s">
        <v>170</v>
      </c>
      <c r="C133" s="378" t="s">
        <v>311</v>
      </c>
      <c r="D133" s="336">
        <v>6</v>
      </c>
      <c r="E133" s="336">
        <v>11</v>
      </c>
      <c r="F133" s="338">
        <f t="shared" si="91"/>
        <v>66.4812</v>
      </c>
      <c r="G133" s="339">
        <v>27.3996</v>
      </c>
      <c r="H133" s="339">
        <v>13.5024</v>
      </c>
      <c r="I133" s="339"/>
      <c r="J133" s="339">
        <v>2.5792</v>
      </c>
      <c r="K133" s="339"/>
      <c r="L133" s="339">
        <f t="shared" si="99"/>
        <v>23</v>
      </c>
      <c r="M133" s="339"/>
      <c r="N133" s="340">
        <f t="shared" si="98"/>
        <v>19.7780964</v>
      </c>
      <c r="O133" s="340">
        <f t="shared" si="84"/>
        <v>6.956992</v>
      </c>
      <c r="P133" s="340">
        <f t="shared" si="100"/>
        <v>3.478496</v>
      </c>
      <c r="Q133" s="340">
        <f t="shared" si="101"/>
        <v>5.217744</v>
      </c>
      <c r="R133" s="340">
        <f t="shared" si="75"/>
        <v>3.7828644</v>
      </c>
      <c r="S133" s="341">
        <v>1</v>
      </c>
      <c r="T133" s="341">
        <v>0.342</v>
      </c>
      <c r="U133" s="338">
        <f t="shared" si="93"/>
        <v>86.2592964</v>
      </c>
      <c r="V133" s="342"/>
    </row>
    <row r="134" s="298" customFormat="1" ht="18" customHeight="1" spans="1:22">
      <c r="A134" s="333">
        <v>68</v>
      </c>
      <c r="B134" s="334" t="s">
        <v>291</v>
      </c>
      <c r="C134" s="378" t="s">
        <v>312</v>
      </c>
      <c r="D134" s="336">
        <v>21</v>
      </c>
      <c r="E134" s="336">
        <v>31</v>
      </c>
      <c r="F134" s="338">
        <f t="shared" si="91"/>
        <v>219.5422</v>
      </c>
      <c r="G134" s="339">
        <v>93.4812</v>
      </c>
      <c r="H134" s="339">
        <v>43.6776</v>
      </c>
      <c r="I134" s="339">
        <v>3.708</v>
      </c>
      <c r="J134" s="339">
        <v>5.6754</v>
      </c>
      <c r="K134" s="339"/>
      <c r="L134" s="339">
        <f t="shared" si="99"/>
        <v>73</v>
      </c>
      <c r="M134" s="339"/>
      <c r="N134" s="340">
        <f t="shared" si="98"/>
        <v>65.8463634</v>
      </c>
      <c r="O134" s="340">
        <f t="shared" si="84"/>
        <v>23.446752</v>
      </c>
      <c r="P134" s="340">
        <f t="shared" si="100"/>
        <v>11.723376</v>
      </c>
      <c r="Q134" s="340">
        <f t="shared" si="101"/>
        <v>17.585064</v>
      </c>
      <c r="R134" s="340">
        <f t="shared" si="75"/>
        <v>12.7491714</v>
      </c>
      <c r="S134" s="341">
        <v>1</v>
      </c>
      <c r="T134" s="341">
        <v>0.342</v>
      </c>
      <c r="U134" s="338">
        <f t="shared" si="93"/>
        <v>285.3885634</v>
      </c>
      <c r="V134" s="342"/>
    </row>
    <row r="135" s="298" customFormat="1" ht="18" customHeight="1" spans="1:22">
      <c r="A135" s="333"/>
      <c r="B135" s="334" t="s">
        <v>291</v>
      </c>
      <c r="C135" s="378" t="s">
        <v>313</v>
      </c>
      <c r="D135" s="336">
        <v>33</v>
      </c>
      <c r="E135" s="336">
        <v>77</v>
      </c>
      <c r="F135" s="338">
        <f t="shared" si="91"/>
        <v>379.412</v>
      </c>
      <c r="G135" s="339">
        <v>136.884</v>
      </c>
      <c r="H135" s="339">
        <v>56.742</v>
      </c>
      <c r="I135" s="339">
        <v>24.318</v>
      </c>
      <c r="J135" s="339"/>
      <c r="K135" s="339">
        <v>18.468</v>
      </c>
      <c r="L135" s="339">
        <f t="shared" si="99"/>
        <v>143</v>
      </c>
      <c r="M135" s="339"/>
      <c r="N135" s="340">
        <f t="shared" si="98"/>
        <v>99.076968</v>
      </c>
      <c r="O135" s="340">
        <f t="shared" si="84"/>
        <v>34.87104</v>
      </c>
      <c r="P135" s="340">
        <f t="shared" si="100"/>
        <v>17.43552</v>
      </c>
      <c r="Q135" s="340">
        <f t="shared" si="101"/>
        <v>26.15328</v>
      </c>
      <c r="R135" s="340">
        <f t="shared" si="75"/>
        <v>18.961128</v>
      </c>
      <c r="S135" s="341">
        <v>2</v>
      </c>
      <c r="T135" s="341">
        <v>1.656</v>
      </c>
      <c r="U135" s="338">
        <f t="shared" si="93"/>
        <v>478.488968</v>
      </c>
      <c r="V135" s="342"/>
    </row>
    <row r="136" s="298" customFormat="1" ht="18" customHeight="1" spans="1:22">
      <c r="A136" s="333">
        <v>70</v>
      </c>
      <c r="B136" s="334" t="s">
        <v>175</v>
      </c>
      <c r="C136" s="378" t="s">
        <v>314</v>
      </c>
      <c r="D136" s="336">
        <v>32</v>
      </c>
      <c r="E136" s="336">
        <v>29</v>
      </c>
      <c r="F136" s="338">
        <f t="shared" si="91"/>
        <v>308.5092</v>
      </c>
      <c r="G136" s="339">
        <v>136.1952</v>
      </c>
      <c r="H136" s="339">
        <v>63.0216</v>
      </c>
      <c r="I136" s="339">
        <v>9.3163</v>
      </c>
      <c r="J136" s="339">
        <v>6.9761</v>
      </c>
      <c r="K136" s="339"/>
      <c r="L136" s="339">
        <f t="shared" si="99"/>
        <v>93</v>
      </c>
      <c r="M136" s="339"/>
      <c r="N136" s="340">
        <f t="shared" si="98"/>
        <v>97.8446124</v>
      </c>
      <c r="O136" s="340">
        <f t="shared" si="84"/>
        <v>34.481472</v>
      </c>
      <c r="P136" s="340">
        <f t="shared" si="100"/>
        <v>17.240736</v>
      </c>
      <c r="Q136" s="340">
        <f t="shared" si="101"/>
        <v>25.861104</v>
      </c>
      <c r="R136" s="340">
        <f t="shared" si="75"/>
        <v>18.7493004</v>
      </c>
      <c r="S136" s="341">
        <v>3</v>
      </c>
      <c r="T136" s="341">
        <v>1.512</v>
      </c>
      <c r="U136" s="338">
        <f t="shared" si="93"/>
        <v>406.3538124</v>
      </c>
      <c r="V136" s="342"/>
    </row>
    <row r="137" s="298" customFormat="1" ht="18" customHeight="1" spans="1:22">
      <c r="A137" s="333" t="s">
        <v>315</v>
      </c>
      <c r="B137" s="334" t="s">
        <v>170</v>
      </c>
      <c r="C137" s="378" t="s">
        <v>316</v>
      </c>
      <c r="D137" s="336">
        <v>12</v>
      </c>
      <c r="E137" s="336"/>
      <c r="F137" s="338">
        <f t="shared" si="91"/>
        <v>102.2707</v>
      </c>
      <c r="G137" s="339">
        <v>47.9724</v>
      </c>
      <c r="H137" s="339">
        <v>24.7944</v>
      </c>
      <c r="I137" s="339">
        <v>2.8131</v>
      </c>
      <c r="J137" s="339">
        <v>2.6908</v>
      </c>
      <c r="K137" s="339"/>
      <c r="L137" s="339">
        <f t="shared" si="99"/>
        <v>24</v>
      </c>
      <c r="M137" s="339"/>
      <c r="N137" s="340">
        <f t="shared" si="98"/>
        <v>34.9870029</v>
      </c>
      <c r="O137" s="340">
        <f t="shared" si="84"/>
        <v>12.523312</v>
      </c>
      <c r="P137" s="340">
        <f t="shared" si="100"/>
        <v>6.261656</v>
      </c>
      <c r="Q137" s="340">
        <f t="shared" si="101"/>
        <v>9.392484</v>
      </c>
      <c r="R137" s="340">
        <f t="shared" si="75"/>
        <v>6.8095509</v>
      </c>
      <c r="S137" s="341"/>
      <c r="T137" s="341"/>
      <c r="U137" s="338">
        <f t="shared" si="93"/>
        <v>137.2577029</v>
      </c>
      <c r="V137" s="342"/>
    </row>
    <row r="138" s="300" customFormat="1" ht="18" customHeight="1" spans="1:22">
      <c r="A138" s="379"/>
      <c r="B138" s="379"/>
      <c r="C138" s="380" t="s">
        <v>317</v>
      </c>
      <c r="D138" s="381">
        <v>2</v>
      </c>
      <c r="E138" s="381"/>
      <c r="F138" s="382">
        <f t="shared" si="91"/>
        <v>15.2964</v>
      </c>
      <c r="G138" s="383">
        <v>9.81</v>
      </c>
      <c r="H138" s="383">
        <v>3.84</v>
      </c>
      <c r="I138" s="383">
        <v>1.6464</v>
      </c>
      <c r="J138" s="383"/>
      <c r="K138" s="383"/>
      <c r="L138" s="383"/>
      <c r="M138" s="383"/>
      <c r="N138" s="384">
        <f t="shared" si="98"/>
        <v>6.8374908</v>
      </c>
      <c r="O138" s="384">
        <f t="shared" si="84"/>
        <v>2.447424</v>
      </c>
      <c r="P138" s="384">
        <f t="shared" si="100"/>
        <v>1.223712</v>
      </c>
      <c r="Q138" s="384">
        <f t="shared" si="101"/>
        <v>1.835568</v>
      </c>
      <c r="R138" s="384">
        <f t="shared" si="75"/>
        <v>1.3307868</v>
      </c>
      <c r="S138" s="385"/>
      <c r="T138" s="385"/>
      <c r="U138" s="382">
        <f t="shared" si="93"/>
        <v>22.1338908</v>
      </c>
      <c r="V138" s="386" t="s">
        <v>318</v>
      </c>
    </row>
    <row r="139" s="299" customFormat="1" ht="18" customHeight="1" spans="1:22">
      <c r="A139" s="344">
        <v>19</v>
      </c>
      <c r="B139" s="334"/>
      <c r="C139" s="296" t="s">
        <v>319</v>
      </c>
      <c r="D139" s="336">
        <f>SUM(D140:D143)</f>
        <v>336</v>
      </c>
      <c r="E139" s="336">
        <f>SUM(E140:E143)</f>
        <v>490</v>
      </c>
      <c r="F139" s="338">
        <f t="shared" si="91"/>
        <v>3731.52219</v>
      </c>
      <c r="G139" s="339">
        <f t="shared" ref="G139:L139" si="102">SUM(G140:G143)</f>
        <v>1483.5936</v>
      </c>
      <c r="H139" s="339">
        <f t="shared" si="102"/>
        <v>584.25</v>
      </c>
      <c r="I139" s="339">
        <f t="shared" si="102"/>
        <v>237.94419</v>
      </c>
      <c r="J139" s="339">
        <f t="shared" si="102"/>
        <v>6.2164</v>
      </c>
      <c r="K139" s="339">
        <f t="shared" si="102"/>
        <v>257.518</v>
      </c>
      <c r="L139" s="339">
        <f t="shared" si="102"/>
        <v>1162</v>
      </c>
      <c r="M139" s="339"/>
      <c r="N139" s="340">
        <f t="shared" ref="N139:T139" si="103">SUM(N140:N143)</f>
        <v>1066.15747293</v>
      </c>
      <c r="O139" s="340">
        <f t="shared" si="84"/>
        <v>369.9206704</v>
      </c>
      <c r="P139" s="340">
        <f t="shared" si="103"/>
        <v>184.9603352</v>
      </c>
      <c r="Q139" s="340">
        <f t="shared" si="103"/>
        <v>277.4405028</v>
      </c>
      <c r="R139" s="340">
        <f t="shared" si="103"/>
        <v>201.14436453</v>
      </c>
      <c r="S139" s="341">
        <f t="shared" si="103"/>
        <v>46</v>
      </c>
      <c r="T139" s="341">
        <f t="shared" si="103"/>
        <v>32.6916</v>
      </c>
      <c r="U139" s="338">
        <f t="shared" si="93"/>
        <v>4797.67966293</v>
      </c>
      <c r="V139" s="347"/>
    </row>
    <row r="140" s="298" customFormat="1" ht="18" customHeight="1" spans="1:22">
      <c r="A140" s="333"/>
      <c r="B140" s="334" t="s">
        <v>170</v>
      </c>
      <c r="C140" s="348" t="s">
        <v>320</v>
      </c>
      <c r="D140" s="336">
        <v>75</v>
      </c>
      <c r="E140" s="336">
        <v>73</v>
      </c>
      <c r="F140" s="338">
        <f t="shared" si="91"/>
        <v>745.862</v>
      </c>
      <c r="G140" s="339">
        <v>328.6116</v>
      </c>
      <c r="H140" s="339">
        <v>136.68</v>
      </c>
      <c r="I140" s="339">
        <v>46.062</v>
      </c>
      <c r="J140" s="339">
        <v>6.2164</v>
      </c>
      <c r="K140" s="339">
        <v>5.292</v>
      </c>
      <c r="L140" s="339">
        <f>D140*2+E140*1</f>
        <v>223</v>
      </c>
      <c r="M140" s="339"/>
      <c r="N140" s="340">
        <f t="shared" ref="N140:N146" si="104">O140+P140+T140+R140+Q140</f>
        <v>245.75979</v>
      </c>
      <c r="O140" s="340">
        <f t="shared" si="84"/>
        <v>82.8112</v>
      </c>
      <c r="P140" s="340">
        <f>(G140+H140+I140+J140)*0.08</f>
        <v>41.4056</v>
      </c>
      <c r="Q140" s="340">
        <f>(G140+H140+I140+J140)*0.12</f>
        <v>62.1084</v>
      </c>
      <c r="R140" s="340">
        <f>(G140+H140+I140+J140)*0.087</f>
        <v>45.02859</v>
      </c>
      <c r="S140" s="341">
        <v>20</v>
      </c>
      <c r="T140" s="341">
        <v>14.406</v>
      </c>
      <c r="U140" s="338">
        <f t="shared" si="93"/>
        <v>991.62179</v>
      </c>
      <c r="V140" s="342"/>
    </row>
    <row r="141" s="298" customFormat="1" ht="17.1" customHeight="1" spans="1:22">
      <c r="A141" s="333"/>
      <c r="B141" s="334" t="s">
        <v>175</v>
      </c>
      <c r="C141" s="349" t="s">
        <v>321</v>
      </c>
      <c r="D141" s="336">
        <v>6</v>
      </c>
      <c r="E141" s="336"/>
      <c r="F141" s="338">
        <f t="shared" ref="F141:F146" si="105">SUM(G141:L141)</f>
        <v>57.5535</v>
      </c>
      <c r="G141" s="339">
        <v>29.9964</v>
      </c>
      <c r="H141" s="339">
        <v>10.89</v>
      </c>
      <c r="I141" s="339">
        <v>4.6671</v>
      </c>
      <c r="J141" s="339"/>
      <c r="K141" s="339"/>
      <c r="L141" s="339">
        <f>D141*2+E141*1</f>
        <v>12</v>
      </c>
      <c r="M141" s="339"/>
      <c r="N141" s="340">
        <f t="shared" si="104"/>
        <v>20.3624145</v>
      </c>
      <c r="O141" s="340">
        <f t="shared" si="84"/>
        <v>7.28856</v>
      </c>
      <c r="P141" s="340">
        <f>(G141+H141+I141+J141)*0.08</f>
        <v>3.64428</v>
      </c>
      <c r="Q141" s="340">
        <f>(G141+H141+I141+J141)*0.12</f>
        <v>5.46642</v>
      </c>
      <c r="R141" s="340">
        <f>(G141+H141+I141+J141)*0.087</f>
        <v>3.9631545</v>
      </c>
      <c r="S141" s="341"/>
      <c r="T141" s="341"/>
      <c r="U141" s="338">
        <f t="shared" si="93"/>
        <v>77.9159145</v>
      </c>
      <c r="V141" s="342"/>
    </row>
    <row r="142" s="299" customFormat="1" ht="18" customHeight="1" spans="1:22">
      <c r="A142" s="344"/>
      <c r="B142" s="345" t="s">
        <v>175</v>
      </c>
      <c r="C142" s="206" t="s">
        <v>322</v>
      </c>
      <c r="D142" s="387">
        <v>210</v>
      </c>
      <c r="E142" s="387">
        <v>365</v>
      </c>
      <c r="F142" s="388">
        <f t="shared" si="105"/>
        <v>2435.4332</v>
      </c>
      <c r="G142" s="265">
        <v>933.7224</v>
      </c>
      <c r="H142" s="265">
        <v>359.964</v>
      </c>
      <c r="I142" s="265">
        <v>154.3368</v>
      </c>
      <c r="J142" s="265"/>
      <c r="K142" s="265">
        <v>202.41</v>
      </c>
      <c r="L142" s="339">
        <f>D142*2+E142*1</f>
        <v>785</v>
      </c>
      <c r="M142" s="265"/>
      <c r="N142" s="389">
        <f t="shared" si="104"/>
        <v>663.1579704</v>
      </c>
      <c r="O142" s="356">
        <f t="shared" si="84"/>
        <v>231.683712</v>
      </c>
      <c r="P142" s="389">
        <f>(G142+H142+I142+J142)*0.08</f>
        <v>115.841856</v>
      </c>
      <c r="Q142" s="389">
        <f>(G142+H142+I142+J142)*0.12</f>
        <v>173.762784</v>
      </c>
      <c r="R142" s="356">
        <f>(G142+H142+I142+J142)*0.087</f>
        <v>125.9780184</v>
      </c>
      <c r="S142" s="265">
        <v>21</v>
      </c>
      <c r="T142" s="265">
        <v>15.8916</v>
      </c>
      <c r="U142" s="388">
        <f t="shared" si="93"/>
        <v>3098.5911704</v>
      </c>
      <c r="V142" s="347"/>
    </row>
    <row r="143" s="298" customFormat="1" ht="18" customHeight="1" spans="1:22">
      <c r="A143" s="333"/>
      <c r="B143" s="334" t="s">
        <v>175</v>
      </c>
      <c r="C143" s="349" t="s">
        <v>323</v>
      </c>
      <c r="D143" s="336">
        <v>45</v>
      </c>
      <c r="E143" s="343">
        <v>52</v>
      </c>
      <c r="F143" s="338">
        <f t="shared" si="105"/>
        <v>492.67349</v>
      </c>
      <c r="G143" s="339">
        <v>191.2632</v>
      </c>
      <c r="H143" s="339">
        <v>76.716</v>
      </c>
      <c r="I143" s="339">
        <v>32.87829</v>
      </c>
      <c r="J143" s="339"/>
      <c r="K143" s="339">
        <v>49.816</v>
      </c>
      <c r="L143" s="339">
        <f>D143*2+E143*1</f>
        <v>142</v>
      </c>
      <c r="M143" s="339"/>
      <c r="N143" s="340">
        <f t="shared" si="104"/>
        <v>136.87729803</v>
      </c>
      <c r="O143" s="340">
        <f t="shared" si="84"/>
        <v>48.1371984</v>
      </c>
      <c r="P143" s="340">
        <f>(G143+H143+I143+J143)*0.08</f>
        <v>24.0685992</v>
      </c>
      <c r="Q143" s="340">
        <f>(G143+H143+I143+J143)*0.12</f>
        <v>36.1028988</v>
      </c>
      <c r="R143" s="340">
        <f>(G143+H143+I143+J143)*0.087</f>
        <v>26.17460163</v>
      </c>
      <c r="S143" s="341">
        <v>5</v>
      </c>
      <c r="T143" s="341">
        <v>2.394</v>
      </c>
      <c r="U143" s="338">
        <f t="shared" si="93"/>
        <v>629.55078803</v>
      </c>
      <c r="V143" s="342"/>
    </row>
    <row r="144" s="299" customFormat="1" ht="18" customHeight="1" spans="1:22">
      <c r="A144" s="390" t="s">
        <v>324</v>
      </c>
      <c r="B144" s="391"/>
      <c r="C144" s="296" t="s">
        <v>325</v>
      </c>
      <c r="D144" s="336">
        <f>SUM(D145:D148)</f>
        <v>211</v>
      </c>
      <c r="E144" s="336">
        <f>SUM(E145:E148)</f>
        <v>59</v>
      </c>
      <c r="F144" s="338">
        <f t="shared" si="105"/>
        <v>884.914</v>
      </c>
      <c r="G144" s="339">
        <f>SUM(G145:G148)</f>
        <v>498.9846</v>
      </c>
      <c r="H144" s="339">
        <f t="shared" ref="H144:L144" si="106">SUM(H145:H148)</f>
        <v>147.0318</v>
      </c>
      <c r="I144" s="339">
        <f t="shared" si="106"/>
        <v>36.0225</v>
      </c>
      <c r="J144" s="339">
        <f t="shared" si="106"/>
        <v>9.8751</v>
      </c>
      <c r="K144" s="339">
        <f t="shared" si="106"/>
        <v>0</v>
      </c>
      <c r="L144" s="339">
        <f t="shared" si="106"/>
        <v>193</v>
      </c>
      <c r="M144" s="339"/>
      <c r="N144" s="340">
        <f t="shared" si="104"/>
        <v>204.2285031</v>
      </c>
      <c r="O144" s="340">
        <f>O145+O146</f>
        <v>70.548368</v>
      </c>
      <c r="P144" s="340">
        <f>P145+P146</f>
        <v>35.274184</v>
      </c>
      <c r="Q144" s="340">
        <f>Q145+Q146</f>
        <v>52.911276</v>
      </c>
      <c r="R144" s="340">
        <f>R145+R146</f>
        <v>38.3606751</v>
      </c>
      <c r="S144" s="341">
        <f>SUM(S145:S148)</f>
        <v>11</v>
      </c>
      <c r="T144" s="341">
        <f>SUM(T145:T148)</f>
        <v>7.134</v>
      </c>
      <c r="U144" s="338">
        <f t="shared" si="93"/>
        <v>1089.1425031</v>
      </c>
      <c r="V144" s="347"/>
    </row>
    <row r="145" s="298" customFormat="1" ht="18" customHeight="1" spans="1:22">
      <c r="A145" s="333"/>
      <c r="B145" s="334" t="s">
        <v>170</v>
      </c>
      <c r="C145" s="349" t="s">
        <v>326</v>
      </c>
      <c r="D145" s="336">
        <v>59</v>
      </c>
      <c r="E145" s="337">
        <v>54</v>
      </c>
      <c r="F145" s="338">
        <f t="shared" si="105"/>
        <v>563.8776</v>
      </c>
      <c r="G145" s="339">
        <v>243.5472</v>
      </c>
      <c r="H145" s="339">
        <v>112.1376</v>
      </c>
      <c r="I145" s="339">
        <v>28.3346</v>
      </c>
      <c r="J145" s="339">
        <v>7.8582</v>
      </c>
      <c r="K145" s="339"/>
      <c r="L145" s="339">
        <f>D145*2+E145*1</f>
        <v>172</v>
      </c>
      <c r="M145" s="339">
        <v>3.6</v>
      </c>
      <c r="N145" s="340">
        <f t="shared" si="104"/>
        <v>182.3032872</v>
      </c>
      <c r="O145" s="340">
        <f>(G145+H145+I145+J145)*0.16</f>
        <v>62.700416</v>
      </c>
      <c r="P145" s="340">
        <f>(G145+H145+I145+J145)*0.08</f>
        <v>31.350208</v>
      </c>
      <c r="Q145" s="340">
        <f>(G145+H145+I145+J145)*0.12</f>
        <v>47.025312</v>
      </c>
      <c r="R145" s="340">
        <f>(G145+H145+I145+J145)*0.087</f>
        <v>34.0933512</v>
      </c>
      <c r="S145" s="341">
        <v>11</v>
      </c>
      <c r="T145" s="341">
        <v>7.134</v>
      </c>
      <c r="U145" s="338">
        <f t="shared" si="93"/>
        <v>746.1808872</v>
      </c>
      <c r="V145" s="342"/>
    </row>
    <row r="146" s="298" customFormat="1" ht="18" customHeight="1" spans="1:22">
      <c r="A146" s="333"/>
      <c r="B146" s="334" t="s">
        <v>170</v>
      </c>
      <c r="C146" s="349" t="s">
        <v>327</v>
      </c>
      <c r="D146" s="336">
        <v>8</v>
      </c>
      <c r="E146" s="343">
        <v>5</v>
      </c>
      <c r="F146" s="338">
        <f t="shared" si="105"/>
        <v>70.0497</v>
      </c>
      <c r="G146" s="339">
        <v>30.0696</v>
      </c>
      <c r="H146" s="339">
        <v>16.9632</v>
      </c>
      <c r="I146" s="339"/>
      <c r="J146" s="339">
        <v>2.0169</v>
      </c>
      <c r="K146" s="339"/>
      <c r="L146" s="339">
        <f>D146*2+E146*1</f>
        <v>21</v>
      </c>
      <c r="M146" s="339"/>
      <c r="N146" s="340">
        <f t="shared" si="104"/>
        <v>21.9252159</v>
      </c>
      <c r="O146" s="340">
        <f>(G146+H146+I146+J146)*0.16</f>
        <v>7.847952</v>
      </c>
      <c r="P146" s="340">
        <f>(G146+H146+I146+J146)*0.08</f>
        <v>3.923976</v>
      </c>
      <c r="Q146" s="340">
        <f>(G146+H146+I146+J146)*0.12</f>
        <v>5.885964</v>
      </c>
      <c r="R146" s="340">
        <f>(G146+H146+I146+J146)*0.087</f>
        <v>4.2673239</v>
      </c>
      <c r="S146" s="341"/>
      <c r="T146" s="341"/>
      <c r="U146" s="338">
        <f t="shared" si="93"/>
        <v>91.9749159</v>
      </c>
      <c r="V146" s="342"/>
    </row>
    <row r="147" s="298" customFormat="1" ht="18" customHeight="1" spans="1:22">
      <c r="A147" s="333"/>
      <c r="B147" s="334"/>
      <c r="C147" s="349" t="s">
        <v>328</v>
      </c>
      <c r="D147" s="336">
        <v>126</v>
      </c>
      <c r="E147" s="343"/>
      <c r="F147" s="338">
        <f>SUM(G147:M147)*12</f>
        <v>852.2724</v>
      </c>
      <c r="G147" s="339">
        <v>45.3678</v>
      </c>
      <c r="H147" s="339">
        <v>17.931</v>
      </c>
      <c r="I147" s="339">
        <v>7.6879</v>
      </c>
      <c r="J147" s="339"/>
      <c r="K147" s="339"/>
      <c r="L147" s="339"/>
      <c r="M147" s="339">
        <v>0.036</v>
      </c>
      <c r="N147" s="340"/>
      <c r="O147" s="340"/>
      <c r="P147" s="340"/>
      <c r="Q147" s="340"/>
      <c r="R147" s="340"/>
      <c r="S147" s="341"/>
      <c r="T147" s="341"/>
      <c r="U147" s="338">
        <f t="shared" si="93"/>
        <v>852.2724</v>
      </c>
      <c r="V147" s="342"/>
    </row>
    <row r="148" s="298" customFormat="1" ht="18" customHeight="1" spans="1:22">
      <c r="A148" s="333"/>
      <c r="B148" s="334"/>
      <c r="C148" s="349" t="s">
        <v>329</v>
      </c>
      <c r="D148" s="336">
        <v>18</v>
      </c>
      <c r="E148" s="336"/>
      <c r="F148" s="338">
        <f>SUM(G148:L148)</f>
        <v>180</v>
      </c>
      <c r="G148" s="339">
        <v>180</v>
      </c>
      <c r="H148" s="339"/>
      <c r="I148" s="339"/>
      <c r="J148" s="339"/>
      <c r="K148" s="339"/>
      <c r="L148" s="339"/>
      <c r="M148" s="339"/>
      <c r="N148" s="340"/>
      <c r="O148" s="340"/>
      <c r="P148" s="340"/>
      <c r="Q148" s="340"/>
      <c r="R148" s="340"/>
      <c r="S148" s="341"/>
      <c r="T148" s="341"/>
      <c r="U148" s="338">
        <f t="shared" si="93"/>
        <v>180</v>
      </c>
      <c r="V148" s="342" t="s">
        <v>330</v>
      </c>
    </row>
    <row r="149" s="299" customFormat="1" ht="18" customHeight="1" spans="1:22">
      <c r="A149" s="344">
        <v>11</v>
      </c>
      <c r="B149" s="345"/>
      <c r="C149" s="362" t="s">
        <v>331</v>
      </c>
      <c r="D149" s="336">
        <f>D150+D154+D153+D152+D151</f>
        <v>231</v>
      </c>
      <c r="E149" s="336">
        <f>E150+E154+E153+E152+E151</f>
        <v>165</v>
      </c>
      <c r="F149" s="338">
        <f>SUM(G149:L149)</f>
        <v>2192.37857</v>
      </c>
      <c r="G149" s="338">
        <f t="shared" ref="G149:L149" si="107">G150+G154+G153+G152+G151</f>
        <v>986.4612</v>
      </c>
      <c r="H149" s="338">
        <f t="shared" si="107"/>
        <v>429.7874</v>
      </c>
      <c r="I149" s="338">
        <f t="shared" si="107"/>
        <v>117.10967</v>
      </c>
      <c r="J149" s="338">
        <f t="shared" si="107"/>
        <v>32.0203</v>
      </c>
      <c r="K149" s="275">
        <f t="shared" si="107"/>
        <v>0</v>
      </c>
      <c r="L149" s="275">
        <f t="shared" si="107"/>
        <v>627</v>
      </c>
      <c r="M149" s="340"/>
      <c r="N149" s="340">
        <f>N150+N154+N153+N152+N151</f>
        <v>725.53622079</v>
      </c>
      <c r="O149" s="340">
        <f t="shared" ref="O149:U149" si="108">O150+O154+O153+O152+O151</f>
        <v>250.4605712</v>
      </c>
      <c r="P149" s="340">
        <f t="shared" si="108"/>
        <v>125.2302856</v>
      </c>
      <c r="Q149" s="340">
        <f t="shared" si="108"/>
        <v>187.8454284</v>
      </c>
      <c r="R149" s="340">
        <f t="shared" si="108"/>
        <v>136.18793559</v>
      </c>
      <c r="S149" s="275">
        <f t="shared" si="108"/>
        <v>37</v>
      </c>
      <c r="T149" s="340">
        <f t="shared" si="108"/>
        <v>25.812</v>
      </c>
      <c r="U149" s="338">
        <f t="shared" si="108"/>
        <v>2917.91479079</v>
      </c>
      <c r="V149" s="347"/>
    </row>
    <row r="150" s="299" customFormat="1" ht="18" customHeight="1" spans="1:22">
      <c r="A150" s="344"/>
      <c r="B150" s="345" t="s">
        <v>170</v>
      </c>
      <c r="C150" s="335" t="s">
        <v>332</v>
      </c>
      <c r="D150" s="343">
        <v>70</v>
      </c>
      <c r="E150" s="343">
        <v>34</v>
      </c>
      <c r="F150" s="353">
        <f>SUM(G150:L150)</f>
        <v>657.9026</v>
      </c>
      <c r="G150" s="339">
        <v>305.7588</v>
      </c>
      <c r="H150" s="339">
        <v>127.5602</v>
      </c>
      <c r="I150" s="339">
        <v>45.325</v>
      </c>
      <c r="J150" s="339">
        <v>5.2586</v>
      </c>
      <c r="K150" s="339"/>
      <c r="L150" s="339">
        <f>D150*2+E150*1</f>
        <v>174</v>
      </c>
      <c r="M150" s="339"/>
      <c r="N150" s="356">
        <f>O150+P150+T150+R150+Q150</f>
        <v>218.3024622</v>
      </c>
      <c r="O150" s="340">
        <f>(G150+H150+I150+J150)*0.16</f>
        <v>77.424416</v>
      </c>
      <c r="P150" s="356">
        <f>(G150+H150+I150+J150)*0.08</f>
        <v>38.712208</v>
      </c>
      <c r="Q150" s="356">
        <f>(G150+H150+I150+J150)*0.12</f>
        <v>58.068312</v>
      </c>
      <c r="R150" s="340">
        <f>(G150+H150+I150+J150)*0.087</f>
        <v>42.0995262</v>
      </c>
      <c r="S150" s="339">
        <v>3</v>
      </c>
      <c r="T150" s="339">
        <v>1.998</v>
      </c>
      <c r="U150" s="353">
        <f>F150+N150</f>
        <v>876.2050622</v>
      </c>
      <c r="V150" s="347"/>
    </row>
    <row r="151" s="299" customFormat="1" ht="18" customHeight="1" spans="1:22">
      <c r="A151" s="344"/>
      <c r="B151" s="345"/>
      <c r="C151" s="335" t="s">
        <v>333</v>
      </c>
      <c r="D151" s="343">
        <v>38</v>
      </c>
      <c r="E151" s="343"/>
      <c r="F151" s="353">
        <f>SUM(G151:L151)</f>
        <v>323.4734</v>
      </c>
      <c r="G151" s="339">
        <v>161.088</v>
      </c>
      <c r="H151" s="339">
        <v>74.868</v>
      </c>
      <c r="I151" s="339">
        <v>11.5174</v>
      </c>
      <c r="J151" s="339"/>
      <c r="K151" s="339"/>
      <c r="L151" s="339">
        <f>D151*2+E151*1</f>
        <v>76</v>
      </c>
      <c r="M151" s="339"/>
      <c r="N151" s="356">
        <f>O151+P151+T151+R151+Q151</f>
        <v>110.6206098</v>
      </c>
      <c r="O151" s="340">
        <f>(G151+H151+I151+J151)*0.16</f>
        <v>39.595744</v>
      </c>
      <c r="P151" s="356">
        <f>(G151+H151+I151+J151)*0.08</f>
        <v>19.797872</v>
      </c>
      <c r="Q151" s="356">
        <f>(G151+H151+I151+J151)*0.12</f>
        <v>29.696808</v>
      </c>
      <c r="R151" s="340">
        <f>(G151+H151+I151+J151)*0.087</f>
        <v>21.5301858</v>
      </c>
      <c r="S151" s="339"/>
      <c r="T151" s="339"/>
      <c r="U151" s="353">
        <f>F151+N151</f>
        <v>434.0940098</v>
      </c>
      <c r="V151" s="347"/>
    </row>
    <row r="152" s="298" customFormat="1" ht="18" customHeight="1" spans="1:22">
      <c r="A152" s="333"/>
      <c r="B152" s="334" t="s">
        <v>175</v>
      </c>
      <c r="C152" s="296" t="s">
        <v>334</v>
      </c>
      <c r="D152" s="336">
        <v>12</v>
      </c>
      <c r="E152" s="336"/>
      <c r="F152" s="338">
        <f t="shared" ref="F152:F167" si="109">SUM(G152:L152)</f>
        <v>97.48697</v>
      </c>
      <c r="G152" s="339">
        <v>45.4584</v>
      </c>
      <c r="H152" s="339">
        <v>19.62</v>
      </c>
      <c r="I152" s="339">
        <v>8.40857</v>
      </c>
      <c r="J152" s="339"/>
      <c r="K152" s="339"/>
      <c r="L152" s="339">
        <f>D152*2+E152*1</f>
        <v>24</v>
      </c>
      <c r="M152" s="339"/>
      <c r="N152" s="340">
        <f t="shared" ref="N152:N159" si="110">O152+P152+T152+R152+Q152</f>
        <v>32.84867559</v>
      </c>
      <c r="O152" s="340">
        <f t="shared" ref="O152:O158" si="111">(G152+H152+I152+J152)*0.16</f>
        <v>11.7579152</v>
      </c>
      <c r="P152" s="340">
        <f t="shared" ref="P152:P167" si="112">(G152+H152+I152+J152)*0.08</f>
        <v>5.8789576</v>
      </c>
      <c r="Q152" s="340">
        <f t="shared" ref="Q152:Q167" si="113">(G152+H152+I152+J152)*0.12</f>
        <v>8.8184364</v>
      </c>
      <c r="R152" s="340">
        <f t="shared" ref="R152:R158" si="114">(G152+H152+I152+J152)*0.087</f>
        <v>6.39336639</v>
      </c>
      <c r="S152" s="341"/>
      <c r="T152" s="341"/>
      <c r="U152" s="338">
        <f t="shared" ref="U152:U167" si="115">F152+N152</f>
        <v>130.33564559</v>
      </c>
      <c r="V152" s="342"/>
    </row>
    <row r="153" s="299" customFormat="1" ht="18" customHeight="1" spans="1:22">
      <c r="A153" s="344"/>
      <c r="B153" s="345" t="s">
        <v>175</v>
      </c>
      <c r="C153" s="335" t="s">
        <v>335</v>
      </c>
      <c r="D153" s="343">
        <v>72</v>
      </c>
      <c r="E153" s="343">
        <v>111</v>
      </c>
      <c r="F153" s="353">
        <f t="shared" si="109"/>
        <v>755.2903</v>
      </c>
      <c r="G153" s="339">
        <v>309.1164</v>
      </c>
      <c r="H153" s="339">
        <v>141.1092</v>
      </c>
      <c r="I153" s="339">
        <v>23.303</v>
      </c>
      <c r="J153" s="339">
        <v>26.7617</v>
      </c>
      <c r="K153" s="339"/>
      <c r="L153" s="339">
        <f>D153*2+E153*1</f>
        <v>255</v>
      </c>
      <c r="M153" s="339"/>
      <c r="N153" s="356">
        <f t="shared" si="110"/>
        <v>244.9597641</v>
      </c>
      <c r="O153" s="340">
        <f t="shared" si="111"/>
        <v>80.046448</v>
      </c>
      <c r="P153" s="356">
        <f t="shared" si="112"/>
        <v>40.023224</v>
      </c>
      <c r="Q153" s="356">
        <f t="shared" si="113"/>
        <v>60.034836</v>
      </c>
      <c r="R153" s="340">
        <f t="shared" si="114"/>
        <v>43.5252561</v>
      </c>
      <c r="S153" s="339">
        <v>31</v>
      </c>
      <c r="T153" s="339">
        <v>21.33</v>
      </c>
      <c r="U153" s="353">
        <f t="shared" si="115"/>
        <v>1000.2500641</v>
      </c>
      <c r="V153" s="347"/>
    </row>
    <row r="154" s="298" customFormat="1" ht="18" customHeight="1" spans="1:22">
      <c r="A154" s="333"/>
      <c r="B154" s="334" t="s">
        <v>175</v>
      </c>
      <c r="C154" s="296" t="s">
        <v>336</v>
      </c>
      <c r="D154" s="336">
        <v>39</v>
      </c>
      <c r="E154" s="336">
        <v>20</v>
      </c>
      <c r="F154" s="338">
        <f t="shared" si="109"/>
        <v>358.2253</v>
      </c>
      <c r="G154" s="339">
        <v>165.0396</v>
      </c>
      <c r="H154" s="339">
        <v>66.63</v>
      </c>
      <c r="I154" s="339">
        <v>28.5557</v>
      </c>
      <c r="J154" s="339"/>
      <c r="K154" s="339"/>
      <c r="L154" s="339">
        <f>D154*2+E154*1</f>
        <v>98</v>
      </c>
      <c r="M154" s="339"/>
      <c r="N154" s="340">
        <f t="shared" si="110"/>
        <v>118.8047091</v>
      </c>
      <c r="O154" s="340">
        <f t="shared" si="111"/>
        <v>41.636048</v>
      </c>
      <c r="P154" s="340">
        <f t="shared" si="112"/>
        <v>20.818024</v>
      </c>
      <c r="Q154" s="340">
        <f t="shared" si="113"/>
        <v>31.227036</v>
      </c>
      <c r="R154" s="340">
        <f t="shared" si="114"/>
        <v>22.6396011</v>
      </c>
      <c r="S154" s="341">
        <v>3</v>
      </c>
      <c r="T154" s="341">
        <v>2.484</v>
      </c>
      <c r="U154" s="338">
        <f t="shared" si="115"/>
        <v>477.0300091</v>
      </c>
      <c r="V154" s="342"/>
    </row>
    <row r="155" s="299" customFormat="1" ht="17.1" customHeight="1" spans="1:22">
      <c r="A155" s="344">
        <v>84</v>
      </c>
      <c r="B155" s="345"/>
      <c r="C155" s="362" t="s">
        <v>337</v>
      </c>
      <c r="D155" s="336">
        <f>SUM(D156:D156)</f>
        <v>44</v>
      </c>
      <c r="E155" s="336">
        <f>SUM(E156:E156)</f>
        <v>7</v>
      </c>
      <c r="F155" s="338">
        <f t="shared" si="109"/>
        <v>373.6391</v>
      </c>
      <c r="G155" s="339">
        <f t="shared" ref="G155:N155" si="116">SUM(G156:G156)</f>
        <v>176.1684</v>
      </c>
      <c r="H155" s="339">
        <f t="shared" si="116"/>
        <v>84.9696</v>
      </c>
      <c r="I155" s="339">
        <f t="shared" si="116"/>
        <v>17.5011</v>
      </c>
      <c r="J155" s="339">
        <f t="shared" si="116"/>
        <v>0</v>
      </c>
      <c r="K155" s="339">
        <f t="shared" si="116"/>
        <v>0</v>
      </c>
      <c r="L155" s="339">
        <f t="shared" si="116"/>
        <v>95</v>
      </c>
      <c r="M155" s="339">
        <f t="shared" si="116"/>
        <v>2.3964</v>
      </c>
      <c r="N155" s="339">
        <f t="shared" si="116"/>
        <v>124.5516777</v>
      </c>
      <c r="O155" s="340">
        <f t="shared" si="111"/>
        <v>44.582256</v>
      </c>
      <c r="P155" s="340">
        <f t="shared" si="112"/>
        <v>22.291128</v>
      </c>
      <c r="Q155" s="340">
        <f t="shared" si="113"/>
        <v>33.436692</v>
      </c>
      <c r="R155" s="340">
        <f t="shared" si="114"/>
        <v>24.2416017</v>
      </c>
      <c r="S155" s="341">
        <f t="shared" ref="S155:T155" si="117">SUM(S156:S156)</f>
        <v>0</v>
      </c>
      <c r="T155" s="341">
        <f t="shared" si="117"/>
        <v>0</v>
      </c>
      <c r="U155" s="338">
        <f t="shared" si="115"/>
        <v>498.1907777</v>
      </c>
      <c r="V155" s="347"/>
    </row>
    <row r="156" s="298" customFormat="1" ht="18" customHeight="1" spans="1:22">
      <c r="A156" s="333">
        <v>86</v>
      </c>
      <c r="B156" s="334" t="s">
        <v>170</v>
      </c>
      <c r="C156" s="335" t="s">
        <v>338</v>
      </c>
      <c r="D156" s="336">
        <v>44</v>
      </c>
      <c r="E156" s="336">
        <v>7</v>
      </c>
      <c r="F156" s="338">
        <f t="shared" si="109"/>
        <v>373.6391</v>
      </c>
      <c r="G156" s="339">
        <v>176.1684</v>
      </c>
      <c r="H156" s="339">
        <v>84.9696</v>
      </c>
      <c r="I156" s="339">
        <v>17.5011</v>
      </c>
      <c r="J156" s="339"/>
      <c r="K156" s="339"/>
      <c r="L156" s="339">
        <f>D156*2+E156*1</f>
        <v>95</v>
      </c>
      <c r="M156" s="339">
        <v>2.3964</v>
      </c>
      <c r="N156" s="340">
        <f t="shared" si="110"/>
        <v>124.5516777</v>
      </c>
      <c r="O156" s="340">
        <f t="shared" si="111"/>
        <v>44.582256</v>
      </c>
      <c r="P156" s="340">
        <f t="shared" si="112"/>
        <v>22.291128</v>
      </c>
      <c r="Q156" s="340">
        <f t="shared" si="113"/>
        <v>33.436692</v>
      </c>
      <c r="R156" s="340">
        <f t="shared" si="114"/>
        <v>24.2416017</v>
      </c>
      <c r="S156" s="341"/>
      <c r="T156" s="341"/>
      <c r="U156" s="338">
        <f t="shared" si="115"/>
        <v>498.1907777</v>
      </c>
      <c r="V156" s="342"/>
    </row>
    <row r="157" s="299" customFormat="1" ht="18" customHeight="1" spans="1:22">
      <c r="A157" s="344"/>
      <c r="B157" s="345"/>
      <c r="C157" s="392" t="s">
        <v>339</v>
      </c>
      <c r="D157" s="370">
        <f>D158+D159</f>
        <v>24</v>
      </c>
      <c r="E157" s="370">
        <f>E158+E159</f>
        <v>36</v>
      </c>
      <c r="F157" s="338">
        <f t="shared" si="109"/>
        <v>245.3757</v>
      </c>
      <c r="G157" s="371">
        <f>G158+G159</f>
        <v>100.8</v>
      </c>
      <c r="H157" s="371">
        <f t="shared" ref="H157:N157" si="118">H158+H159</f>
        <v>52.488</v>
      </c>
      <c r="I157" s="371">
        <f t="shared" si="118"/>
        <v>0</v>
      </c>
      <c r="J157" s="371">
        <f t="shared" si="118"/>
        <v>8.0877</v>
      </c>
      <c r="K157" s="371">
        <f t="shared" si="118"/>
        <v>0</v>
      </c>
      <c r="L157" s="371">
        <f t="shared" si="118"/>
        <v>84</v>
      </c>
      <c r="M157" s="371">
        <f t="shared" si="118"/>
        <v>4.2024</v>
      </c>
      <c r="N157" s="371">
        <f t="shared" si="118"/>
        <v>77.7869379</v>
      </c>
      <c r="O157" s="340">
        <f t="shared" si="111"/>
        <v>25.820112</v>
      </c>
      <c r="P157" s="340">
        <f t="shared" si="112"/>
        <v>12.910056</v>
      </c>
      <c r="Q157" s="340">
        <f t="shared" si="113"/>
        <v>19.365084</v>
      </c>
      <c r="R157" s="340">
        <f t="shared" si="114"/>
        <v>14.0396859</v>
      </c>
      <c r="S157" s="360">
        <f>S158+S159</f>
        <v>8</v>
      </c>
      <c r="T157" s="340">
        <f>T158+T159</f>
        <v>5.652</v>
      </c>
      <c r="U157" s="338">
        <f t="shared" si="115"/>
        <v>323.1626379</v>
      </c>
      <c r="V157" s="344"/>
    </row>
    <row r="158" s="298" customFormat="1" ht="18" customHeight="1" spans="1:22">
      <c r="A158" s="333"/>
      <c r="B158" s="334" t="s">
        <v>177</v>
      </c>
      <c r="C158" s="369" t="s">
        <v>340</v>
      </c>
      <c r="D158" s="370">
        <v>7</v>
      </c>
      <c r="E158" s="370">
        <v>13</v>
      </c>
      <c r="F158" s="338">
        <f t="shared" si="109"/>
        <v>72.5732</v>
      </c>
      <c r="G158" s="371">
        <v>28.1076</v>
      </c>
      <c r="H158" s="371">
        <v>14.7312</v>
      </c>
      <c r="I158" s="371"/>
      <c r="J158" s="371">
        <v>2.7344</v>
      </c>
      <c r="K158" s="371"/>
      <c r="L158" s="339">
        <f>D158*2+E158*1</f>
        <v>27</v>
      </c>
      <c r="M158" s="339"/>
      <c r="N158" s="340">
        <f t="shared" si="110"/>
        <v>23.0532204</v>
      </c>
      <c r="O158" s="340">
        <f t="shared" si="111"/>
        <v>7.291712</v>
      </c>
      <c r="P158" s="340">
        <f t="shared" si="112"/>
        <v>3.645856</v>
      </c>
      <c r="Q158" s="340">
        <f t="shared" si="113"/>
        <v>5.468784</v>
      </c>
      <c r="R158" s="340">
        <f t="shared" si="114"/>
        <v>3.9648684</v>
      </c>
      <c r="S158" s="372">
        <v>5</v>
      </c>
      <c r="T158" s="372">
        <v>2.682</v>
      </c>
      <c r="U158" s="338">
        <f t="shared" si="115"/>
        <v>95.6264204</v>
      </c>
      <c r="V158" s="342"/>
    </row>
    <row r="159" s="298" customFormat="1" ht="18" customHeight="1" spans="1:22">
      <c r="A159" s="333"/>
      <c r="B159" s="334" t="s">
        <v>177</v>
      </c>
      <c r="C159" s="369" t="s">
        <v>341</v>
      </c>
      <c r="D159" s="370">
        <v>17</v>
      </c>
      <c r="E159" s="370">
        <v>23</v>
      </c>
      <c r="F159" s="338">
        <f t="shared" si="109"/>
        <v>172.8025</v>
      </c>
      <c r="G159" s="371">
        <v>72.6924</v>
      </c>
      <c r="H159" s="371">
        <v>37.7568</v>
      </c>
      <c r="I159" s="371"/>
      <c r="J159" s="371">
        <v>5.3533</v>
      </c>
      <c r="K159" s="371"/>
      <c r="L159" s="339">
        <f>D159*2+E159*1</f>
        <v>57</v>
      </c>
      <c r="M159" s="339">
        <v>4.2024</v>
      </c>
      <c r="N159" s="340">
        <f t="shared" si="110"/>
        <v>54.7337175</v>
      </c>
      <c r="O159" s="340">
        <f t="shared" ref="O159:O167" si="119">(G159+H159+I159+J159)*0.16</f>
        <v>18.5284</v>
      </c>
      <c r="P159" s="340">
        <f t="shared" si="112"/>
        <v>9.2642</v>
      </c>
      <c r="Q159" s="340">
        <f t="shared" si="113"/>
        <v>13.8963</v>
      </c>
      <c r="R159" s="340">
        <f t="shared" ref="R159:R167" si="120">(G159+H159+I159+J159)*0.087</f>
        <v>10.0748175</v>
      </c>
      <c r="S159" s="372">
        <v>3</v>
      </c>
      <c r="T159" s="372">
        <v>2.97</v>
      </c>
      <c r="U159" s="338">
        <f t="shared" si="115"/>
        <v>227.5362175</v>
      </c>
      <c r="V159" s="342"/>
    </row>
    <row r="160" s="299" customFormat="1" ht="18" customHeight="1" spans="1:22">
      <c r="A160" s="344"/>
      <c r="B160" s="345"/>
      <c r="C160" s="392" t="s">
        <v>342</v>
      </c>
      <c r="D160" s="336">
        <f>D161+D165</f>
        <v>197</v>
      </c>
      <c r="E160" s="336">
        <f>E161+E165</f>
        <v>79</v>
      </c>
      <c r="F160" s="338">
        <f t="shared" si="109"/>
        <v>1777.25097</v>
      </c>
      <c r="G160" s="339">
        <f t="shared" ref="G160:L160" si="121">G161+G165</f>
        <v>807.1482</v>
      </c>
      <c r="H160" s="339">
        <f t="shared" si="121"/>
        <v>344.9664</v>
      </c>
      <c r="I160" s="339">
        <f t="shared" si="121"/>
        <v>123.10247</v>
      </c>
      <c r="J160" s="339">
        <f t="shared" si="121"/>
        <v>8.6999</v>
      </c>
      <c r="K160" s="339">
        <f t="shared" si="121"/>
        <v>20.334</v>
      </c>
      <c r="L160" s="339">
        <f t="shared" si="121"/>
        <v>473</v>
      </c>
      <c r="M160" s="339"/>
      <c r="N160" s="339">
        <f>N161+N165</f>
        <v>578.58488559</v>
      </c>
      <c r="O160" s="340">
        <f t="shared" si="119"/>
        <v>205.4267152</v>
      </c>
      <c r="P160" s="340">
        <f t="shared" si="112"/>
        <v>102.7133576</v>
      </c>
      <c r="Q160" s="340">
        <f t="shared" si="113"/>
        <v>154.0700364</v>
      </c>
      <c r="R160" s="340">
        <f t="shared" si="120"/>
        <v>111.70077639</v>
      </c>
      <c r="S160" s="341">
        <f t="shared" ref="S160:T160" si="122">S161</f>
        <v>7</v>
      </c>
      <c r="T160" s="341">
        <f t="shared" si="122"/>
        <v>4.674</v>
      </c>
      <c r="U160" s="338">
        <f t="shared" si="115"/>
        <v>2355.83585559</v>
      </c>
      <c r="V160" s="347"/>
    </row>
    <row r="161" s="299" customFormat="1" ht="18" customHeight="1" spans="1:22">
      <c r="A161" s="344"/>
      <c r="B161" s="345"/>
      <c r="C161" s="393" t="s">
        <v>343</v>
      </c>
      <c r="D161" s="370">
        <f>SUM(D162:D164)</f>
        <v>194</v>
      </c>
      <c r="E161" s="370">
        <f>SUM(E162:E164)</f>
        <v>79</v>
      </c>
      <c r="F161" s="338">
        <f t="shared" si="109"/>
        <v>1754.75817</v>
      </c>
      <c r="G161" s="371">
        <f t="shared" ref="G161:L161" si="123">SUM(G162:G164)</f>
        <v>797.3514</v>
      </c>
      <c r="H161" s="371">
        <f t="shared" si="123"/>
        <v>340.2792</v>
      </c>
      <c r="I161" s="371">
        <f t="shared" si="123"/>
        <v>121.09367</v>
      </c>
      <c r="J161" s="371">
        <f t="shared" si="123"/>
        <v>8.6999</v>
      </c>
      <c r="K161" s="371">
        <f t="shared" si="123"/>
        <v>20.334</v>
      </c>
      <c r="L161" s="371">
        <f t="shared" si="123"/>
        <v>467</v>
      </c>
      <c r="M161" s="339"/>
      <c r="N161" s="340">
        <f>O161+P161+T161+R161+Q161</f>
        <v>571.21260399</v>
      </c>
      <c r="O161" s="340">
        <f t="shared" si="119"/>
        <v>202.7878672</v>
      </c>
      <c r="P161" s="340">
        <f t="shared" si="112"/>
        <v>101.3939336</v>
      </c>
      <c r="Q161" s="340">
        <f t="shared" si="113"/>
        <v>152.0909004</v>
      </c>
      <c r="R161" s="340">
        <f t="shared" si="120"/>
        <v>110.26590279</v>
      </c>
      <c r="S161" s="372">
        <f>SUM(S162:S164)</f>
        <v>7</v>
      </c>
      <c r="T161" s="372">
        <f>SUM(T162:T164)</f>
        <v>4.674</v>
      </c>
      <c r="U161" s="338">
        <f t="shared" si="115"/>
        <v>2325.97077399</v>
      </c>
      <c r="V161" s="347"/>
    </row>
    <row r="162" s="298" customFormat="1" ht="18" customHeight="1" spans="1:22">
      <c r="A162" s="333"/>
      <c r="B162" s="334" t="s">
        <v>170</v>
      </c>
      <c r="C162" s="296" t="s">
        <v>344</v>
      </c>
      <c r="D162" s="370">
        <v>163</v>
      </c>
      <c r="E162" s="394">
        <v>73</v>
      </c>
      <c r="F162" s="338">
        <f t="shared" si="109"/>
        <v>1471.3205</v>
      </c>
      <c r="G162" s="371">
        <v>660.4194</v>
      </c>
      <c r="H162" s="371">
        <v>285.3252</v>
      </c>
      <c r="I162" s="371">
        <v>97.542</v>
      </c>
      <c r="J162" s="371">
        <v>8.6999</v>
      </c>
      <c r="K162" s="371">
        <v>20.334</v>
      </c>
      <c r="L162" s="339">
        <f>D162*2+E162*1</f>
        <v>399</v>
      </c>
      <c r="M162" s="339"/>
      <c r="N162" s="340">
        <f>O162+P162+T162+R162+Q162</f>
        <v>474.9119655</v>
      </c>
      <c r="O162" s="340">
        <f t="shared" si="119"/>
        <v>168.31784</v>
      </c>
      <c r="P162" s="340">
        <f t="shared" si="112"/>
        <v>84.15892</v>
      </c>
      <c r="Q162" s="340">
        <f t="shared" si="113"/>
        <v>126.23838</v>
      </c>
      <c r="R162" s="340">
        <f t="shared" si="120"/>
        <v>91.5228255</v>
      </c>
      <c r="S162" s="372">
        <v>7</v>
      </c>
      <c r="T162" s="372">
        <v>4.674</v>
      </c>
      <c r="U162" s="338">
        <f t="shared" si="115"/>
        <v>1946.2324655</v>
      </c>
      <c r="V162" s="342"/>
    </row>
    <row r="163" s="298" customFormat="1" ht="18" customHeight="1" spans="1:22">
      <c r="A163" s="333"/>
      <c r="B163" s="334" t="s">
        <v>175</v>
      </c>
      <c r="C163" s="349" t="s">
        <v>345</v>
      </c>
      <c r="D163" s="336">
        <v>14</v>
      </c>
      <c r="E163" s="336">
        <v>1</v>
      </c>
      <c r="F163" s="338">
        <f t="shared" si="109"/>
        <v>121.7099</v>
      </c>
      <c r="G163" s="339">
        <v>58.4928</v>
      </c>
      <c r="H163" s="339">
        <v>23.952</v>
      </c>
      <c r="I163" s="339">
        <v>10.2651</v>
      </c>
      <c r="J163" s="339"/>
      <c r="K163" s="339"/>
      <c r="L163" s="339">
        <f>D163*2+E163*1</f>
        <v>29</v>
      </c>
      <c r="M163" s="339"/>
      <c r="N163" s="340">
        <f>O163+P163+T163+R163+Q163</f>
        <v>41.4413253</v>
      </c>
      <c r="O163" s="340">
        <f t="shared" si="119"/>
        <v>14.833584</v>
      </c>
      <c r="P163" s="340">
        <f t="shared" si="112"/>
        <v>7.416792</v>
      </c>
      <c r="Q163" s="340">
        <f t="shared" si="113"/>
        <v>11.125188</v>
      </c>
      <c r="R163" s="340">
        <f t="shared" si="120"/>
        <v>8.0657613</v>
      </c>
      <c r="S163" s="341"/>
      <c r="T163" s="341"/>
      <c r="U163" s="338">
        <f t="shared" si="115"/>
        <v>163.1512253</v>
      </c>
      <c r="V163" s="342"/>
    </row>
    <row r="164" s="298" customFormat="1" ht="18" customHeight="1" spans="1:22">
      <c r="A164" s="333"/>
      <c r="B164" s="334" t="s">
        <v>175</v>
      </c>
      <c r="C164" s="349" t="s">
        <v>346</v>
      </c>
      <c r="D164" s="336">
        <v>17</v>
      </c>
      <c r="E164" s="343">
        <v>5</v>
      </c>
      <c r="F164" s="338">
        <f t="shared" si="109"/>
        <v>161.72777</v>
      </c>
      <c r="G164" s="339">
        <v>78.4392</v>
      </c>
      <c r="H164" s="339">
        <v>31.002</v>
      </c>
      <c r="I164" s="339">
        <v>13.28657</v>
      </c>
      <c r="J164" s="339"/>
      <c r="K164" s="339"/>
      <c r="L164" s="339">
        <f>D164*2+E164*1</f>
        <v>39</v>
      </c>
      <c r="M164" s="339"/>
      <c r="N164" s="340">
        <f>O164+P164+T164+R164+Q164</f>
        <v>54.85931319</v>
      </c>
      <c r="O164" s="340">
        <f t="shared" si="119"/>
        <v>19.6364432</v>
      </c>
      <c r="P164" s="340">
        <f t="shared" si="112"/>
        <v>9.8182216</v>
      </c>
      <c r="Q164" s="340">
        <f t="shared" si="113"/>
        <v>14.7273324</v>
      </c>
      <c r="R164" s="340">
        <f t="shared" si="120"/>
        <v>10.67731599</v>
      </c>
      <c r="S164" s="341"/>
      <c r="T164" s="341"/>
      <c r="U164" s="338">
        <f t="shared" si="115"/>
        <v>216.58708319</v>
      </c>
      <c r="V164" s="342"/>
    </row>
    <row r="165" s="298" customFormat="1" ht="18" customHeight="1" spans="1:22">
      <c r="A165" s="333"/>
      <c r="B165" s="334" t="s">
        <v>175</v>
      </c>
      <c r="C165" s="296" t="s">
        <v>347</v>
      </c>
      <c r="D165" s="370">
        <v>3</v>
      </c>
      <c r="E165" s="370"/>
      <c r="F165" s="338">
        <f t="shared" si="109"/>
        <v>22.4928</v>
      </c>
      <c r="G165" s="371">
        <v>9.7968</v>
      </c>
      <c r="H165" s="371">
        <v>4.6872</v>
      </c>
      <c r="I165" s="371">
        <v>2.0088</v>
      </c>
      <c r="J165" s="371"/>
      <c r="K165" s="371"/>
      <c r="L165" s="339">
        <f>D165*2+E165*1</f>
        <v>6</v>
      </c>
      <c r="M165" s="339"/>
      <c r="N165" s="340">
        <f>O165+P165+T165+R165+Q165</f>
        <v>7.3722816</v>
      </c>
      <c r="O165" s="340">
        <f t="shared" si="119"/>
        <v>2.638848</v>
      </c>
      <c r="P165" s="340">
        <f t="shared" si="112"/>
        <v>1.319424</v>
      </c>
      <c r="Q165" s="340">
        <f t="shared" si="113"/>
        <v>1.979136</v>
      </c>
      <c r="R165" s="340">
        <f t="shared" si="120"/>
        <v>1.4348736</v>
      </c>
      <c r="S165" s="372"/>
      <c r="T165" s="372"/>
      <c r="U165" s="338">
        <f t="shared" si="115"/>
        <v>29.8650816</v>
      </c>
      <c r="V165" s="342"/>
    </row>
    <row r="166" s="299" customFormat="1" ht="18" customHeight="1" spans="1:22">
      <c r="A166" s="344"/>
      <c r="B166" s="345"/>
      <c r="C166" s="392" t="s">
        <v>348</v>
      </c>
      <c r="D166" s="336">
        <f>D167</f>
        <v>8</v>
      </c>
      <c r="E166" s="336">
        <f>E167</f>
        <v>13</v>
      </c>
      <c r="F166" s="338">
        <f t="shared" si="109"/>
        <v>82.6931</v>
      </c>
      <c r="G166" s="339">
        <f t="shared" ref="G166:N166" si="124">G167</f>
        <v>33.1236</v>
      </c>
      <c r="H166" s="339">
        <f t="shared" si="124"/>
        <v>16.7064</v>
      </c>
      <c r="I166" s="339">
        <f t="shared" si="124"/>
        <v>0.6891</v>
      </c>
      <c r="J166" s="339">
        <f t="shared" si="124"/>
        <v>3.174</v>
      </c>
      <c r="K166" s="339">
        <f t="shared" si="124"/>
        <v>0</v>
      </c>
      <c r="L166" s="339">
        <f t="shared" si="124"/>
        <v>29</v>
      </c>
      <c r="M166" s="339">
        <f t="shared" si="124"/>
        <v>2.6268</v>
      </c>
      <c r="N166" s="339">
        <f t="shared" si="124"/>
        <v>24.8288157</v>
      </c>
      <c r="O166" s="340">
        <f t="shared" si="119"/>
        <v>8.590896</v>
      </c>
      <c r="P166" s="340">
        <f t="shared" si="112"/>
        <v>4.295448</v>
      </c>
      <c r="Q166" s="340">
        <f t="shared" si="113"/>
        <v>6.443172</v>
      </c>
      <c r="R166" s="340">
        <f t="shared" si="120"/>
        <v>4.6712997</v>
      </c>
      <c r="S166" s="341">
        <f>S167</f>
        <v>1</v>
      </c>
      <c r="T166" s="341">
        <f>T167</f>
        <v>0.828</v>
      </c>
      <c r="U166" s="338">
        <f t="shared" si="115"/>
        <v>107.5219157</v>
      </c>
      <c r="V166" s="347"/>
    </row>
    <row r="167" s="298" customFormat="1" ht="18" customHeight="1" spans="1:22">
      <c r="A167" s="333"/>
      <c r="B167" s="334" t="s">
        <v>177</v>
      </c>
      <c r="C167" s="395" t="s">
        <v>349</v>
      </c>
      <c r="D167" s="336">
        <v>8</v>
      </c>
      <c r="E167" s="370">
        <v>13</v>
      </c>
      <c r="F167" s="338">
        <f t="shared" si="109"/>
        <v>82.6931</v>
      </c>
      <c r="G167" s="371">
        <v>33.1236</v>
      </c>
      <c r="H167" s="371">
        <v>16.7064</v>
      </c>
      <c r="I167" s="371">
        <v>0.6891</v>
      </c>
      <c r="J167" s="371">
        <v>3.174</v>
      </c>
      <c r="K167" s="371"/>
      <c r="L167" s="339">
        <f>D167*2+E167*1</f>
        <v>29</v>
      </c>
      <c r="M167" s="339">
        <v>2.6268</v>
      </c>
      <c r="N167" s="340">
        <f>O167+P167+T167+R167+Q167</f>
        <v>24.8288157</v>
      </c>
      <c r="O167" s="340">
        <f t="shared" si="119"/>
        <v>8.590896</v>
      </c>
      <c r="P167" s="340">
        <f t="shared" si="112"/>
        <v>4.295448</v>
      </c>
      <c r="Q167" s="340">
        <f t="shared" si="113"/>
        <v>6.443172</v>
      </c>
      <c r="R167" s="340">
        <f t="shared" si="120"/>
        <v>4.6712997</v>
      </c>
      <c r="S167" s="372">
        <v>1</v>
      </c>
      <c r="T167" s="372">
        <v>0.828</v>
      </c>
      <c r="U167" s="338">
        <f t="shared" si="115"/>
        <v>107.5219157</v>
      </c>
      <c r="V167" s="342"/>
    </row>
    <row r="168" s="299" customFormat="1" spans="1:22">
      <c r="A168" s="344"/>
      <c r="B168" s="334"/>
      <c r="C168" s="396"/>
      <c r="D168" s="397"/>
      <c r="E168" s="397"/>
      <c r="F168" s="398"/>
      <c r="G168" s="399"/>
      <c r="H168" s="399"/>
      <c r="I168" s="399"/>
      <c r="J168" s="399"/>
      <c r="K168" s="399"/>
      <c r="L168" s="399"/>
      <c r="M168" s="399"/>
      <c r="N168" s="399"/>
      <c r="O168" s="399"/>
      <c r="P168" s="399"/>
      <c r="Q168" s="399"/>
      <c r="R168" s="399"/>
      <c r="S168" s="399"/>
      <c r="T168" s="399"/>
      <c r="U168" s="400"/>
    </row>
    <row r="169" s="299" customFormat="1" spans="1:22">
      <c r="A169" s="344"/>
      <c r="C169" s="396"/>
      <c r="D169" s="397"/>
      <c r="E169" s="397"/>
      <c r="F169" s="398"/>
      <c r="G169" s="399"/>
      <c r="H169" s="399"/>
      <c r="I169" s="399"/>
      <c r="J169" s="399"/>
      <c r="K169" s="399"/>
      <c r="L169" s="399"/>
      <c r="M169" s="399"/>
      <c r="N169" s="399"/>
      <c r="O169" s="399"/>
      <c r="P169" s="399"/>
      <c r="Q169" s="399"/>
      <c r="R169" s="399"/>
      <c r="S169" s="399"/>
      <c r="T169" s="399"/>
      <c r="U169" s="400"/>
    </row>
    <row r="170" s="299" customFormat="1" spans="1:22">
      <c r="A170" s="344"/>
      <c r="C170" s="396"/>
      <c r="D170" s="397"/>
      <c r="E170" s="397"/>
      <c r="F170" s="398"/>
      <c r="G170" s="399"/>
      <c r="H170" s="399"/>
      <c r="I170" s="399"/>
      <c r="J170" s="399"/>
      <c r="K170" s="399"/>
      <c r="L170" s="399"/>
      <c r="M170" s="399"/>
      <c r="N170" s="399"/>
      <c r="O170" s="399"/>
      <c r="P170" s="399"/>
      <c r="Q170" s="399"/>
      <c r="R170" s="399"/>
      <c r="S170" s="399"/>
      <c r="T170" s="399"/>
      <c r="U170" s="400"/>
    </row>
    <row r="171" s="299" customFormat="1" spans="1:22">
      <c r="A171" s="344"/>
      <c r="C171" s="396"/>
      <c r="D171" s="397"/>
      <c r="E171" s="397"/>
      <c r="F171" s="398"/>
      <c r="G171" s="399"/>
      <c r="H171" s="399"/>
      <c r="I171" s="399"/>
      <c r="J171" s="399"/>
      <c r="K171" s="399"/>
      <c r="L171" s="399"/>
      <c r="M171" s="399"/>
      <c r="N171" s="399"/>
      <c r="O171" s="399"/>
      <c r="P171" s="399"/>
      <c r="Q171" s="399"/>
      <c r="R171" s="399"/>
      <c r="S171" s="399"/>
      <c r="T171" s="399"/>
      <c r="U171" s="400"/>
    </row>
    <row r="172" s="299" customFormat="1" spans="1:22">
      <c r="A172" s="344"/>
      <c r="C172" s="396"/>
      <c r="D172" s="397"/>
      <c r="E172" s="397"/>
      <c r="F172" s="398"/>
      <c r="G172" s="399"/>
      <c r="H172" s="399"/>
      <c r="I172" s="399"/>
      <c r="J172" s="399"/>
      <c r="K172" s="399"/>
      <c r="L172" s="399"/>
      <c r="M172" s="399"/>
      <c r="N172" s="399"/>
      <c r="O172" s="399"/>
      <c r="P172" s="399"/>
      <c r="Q172" s="399"/>
      <c r="R172" s="399"/>
      <c r="S172" s="399"/>
      <c r="T172" s="399"/>
      <c r="U172" s="400"/>
    </row>
    <row r="173" s="299" customFormat="1" spans="1:22">
      <c r="A173" s="344"/>
      <c r="C173" s="396"/>
      <c r="D173" s="397"/>
      <c r="E173" s="397"/>
      <c r="F173" s="398"/>
      <c r="G173" s="399"/>
      <c r="H173" s="399"/>
      <c r="I173" s="399"/>
      <c r="J173" s="399"/>
      <c r="K173" s="399"/>
      <c r="L173" s="399"/>
      <c r="M173" s="399"/>
      <c r="N173" s="399"/>
      <c r="O173" s="399"/>
      <c r="P173" s="399"/>
      <c r="Q173" s="399"/>
      <c r="R173" s="399"/>
      <c r="S173" s="399"/>
      <c r="T173" s="399"/>
      <c r="U173" s="400"/>
    </row>
    <row r="174" s="299" customFormat="1" spans="1:22">
      <c r="A174" s="344"/>
      <c r="C174" s="396"/>
      <c r="D174" s="397"/>
      <c r="E174" s="397"/>
      <c r="F174" s="398"/>
      <c r="G174" s="399"/>
      <c r="H174" s="399"/>
      <c r="I174" s="399"/>
      <c r="J174" s="399"/>
      <c r="K174" s="399"/>
      <c r="L174" s="399"/>
      <c r="M174" s="399"/>
      <c r="N174" s="399"/>
      <c r="O174" s="399"/>
      <c r="P174" s="399"/>
      <c r="Q174" s="399"/>
      <c r="R174" s="399"/>
      <c r="S174" s="399"/>
      <c r="T174" s="399"/>
      <c r="U174" s="400"/>
    </row>
    <row r="175" s="299" customFormat="1" spans="1:22">
      <c r="A175" s="344"/>
      <c r="C175" s="396"/>
      <c r="D175" s="397"/>
      <c r="E175" s="397"/>
      <c r="F175" s="398"/>
      <c r="G175" s="399"/>
      <c r="H175" s="399"/>
      <c r="I175" s="399"/>
      <c r="J175" s="399"/>
      <c r="K175" s="399"/>
      <c r="L175" s="399"/>
      <c r="M175" s="399"/>
      <c r="N175" s="399"/>
      <c r="O175" s="399"/>
      <c r="P175" s="399"/>
      <c r="Q175" s="399"/>
      <c r="R175" s="399"/>
      <c r="S175" s="399"/>
      <c r="T175" s="399"/>
      <c r="U175" s="400"/>
    </row>
    <row r="176" s="299" customFormat="1" spans="1:22">
      <c r="A176" s="344"/>
      <c r="C176" s="396"/>
      <c r="D176" s="397"/>
      <c r="E176" s="397"/>
      <c r="F176" s="398"/>
      <c r="G176" s="399"/>
      <c r="H176" s="399"/>
      <c r="I176" s="399"/>
      <c r="J176" s="399"/>
      <c r="K176" s="399"/>
      <c r="L176" s="399"/>
      <c r="M176" s="399"/>
      <c r="N176" s="399"/>
      <c r="O176" s="399"/>
      <c r="P176" s="399"/>
      <c r="Q176" s="399"/>
      <c r="R176" s="399"/>
      <c r="S176" s="399"/>
      <c r="T176" s="399"/>
      <c r="U176" s="400"/>
    </row>
    <row r="177" s="299" customFormat="1" spans="1:21">
      <c r="A177" s="344"/>
      <c r="C177" s="396"/>
      <c r="D177" s="397"/>
      <c r="E177" s="397"/>
      <c r="F177" s="398"/>
      <c r="G177" s="399"/>
      <c r="H177" s="399"/>
      <c r="I177" s="399"/>
      <c r="J177" s="399"/>
      <c r="K177" s="399"/>
      <c r="L177" s="399"/>
      <c r="M177" s="399"/>
      <c r="N177" s="399"/>
      <c r="O177" s="399"/>
      <c r="P177" s="399"/>
      <c r="Q177" s="399"/>
      <c r="R177" s="399"/>
      <c r="S177" s="399"/>
      <c r="T177" s="399"/>
      <c r="U177" s="400"/>
    </row>
    <row r="178" s="299" customFormat="1" spans="1:21">
      <c r="A178" s="344"/>
      <c r="C178" s="396"/>
      <c r="D178" s="397"/>
      <c r="E178" s="397"/>
      <c r="F178" s="398"/>
      <c r="G178" s="399"/>
      <c r="H178" s="399"/>
      <c r="I178" s="399"/>
      <c r="J178" s="399"/>
      <c r="K178" s="399"/>
      <c r="L178" s="399"/>
      <c r="M178" s="399"/>
      <c r="N178" s="399"/>
      <c r="O178" s="399"/>
      <c r="P178" s="399"/>
      <c r="Q178" s="399"/>
      <c r="R178" s="399"/>
      <c r="S178" s="399"/>
      <c r="T178" s="399"/>
      <c r="U178" s="400"/>
    </row>
    <row r="179" s="299" customFormat="1" spans="1:21">
      <c r="A179" s="344"/>
      <c r="C179" s="396"/>
      <c r="D179" s="397"/>
      <c r="E179" s="397"/>
      <c r="F179" s="398"/>
      <c r="G179" s="399"/>
      <c r="H179" s="399"/>
      <c r="I179" s="399"/>
      <c r="J179" s="399"/>
      <c r="K179" s="399"/>
      <c r="L179" s="399"/>
      <c r="M179" s="399"/>
      <c r="N179" s="399"/>
      <c r="O179" s="399"/>
      <c r="P179" s="399"/>
      <c r="Q179" s="399"/>
      <c r="R179" s="399"/>
      <c r="S179" s="399"/>
      <c r="T179" s="399"/>
      <c r="U179" s="400"/>
    </row>
    <row r="180" s="299" customFormat="1" spans="1:21">
      <c r="A180" s="344"/>
      <c r="C180" s="396"/>
      <c r="D180" s="397"/>
      <c r="E180" s="397"/>
      <c r="F180" s="398"/>
      <c r="G180" s="399"/>
      <c r="H180" s="399"/>
      <c r="I180" s="399"/>
      <c r="J180" s="399"/>
      <c r="K180" s="399"/>
      <c r="L180" s="399"/>
      <c r="M180" s="399"/>
      <c r="N180" s="399"/>
      <c r="O180" s="399"/>
      <c r="P180" s="399"/>
      <c r="Q180" s="399"/>
      <c r="R180" s="399"/>
      <c r="S180" s="399"/>
      <c r="T180" s="399"/>
      <c r="U180" s="400"/>
    </row>
    <row r="181" s="299" customFormat="1" spans="1:21">
      <c r="A181" s="344"/>
      <c r="C181" s="396"/>
      <c r="D181" s="397"/>
      <c r="E181" s="397"/>
      <c r="F181" s="398"/>
      <c r="G181" s="399"/>
      <c r="H181" s="399"/>
      <c r="I181" s="399"/>
      <c r="J181" s="399"/>
      <c r="K181" s="399"/>
      <c r="L181" s="399"/>
      <c r="M181" s="399"/>
      <c r="N181" s="399"/>
      <c r="O181" s="399"/>
      <c r="P181" s="399"/>
      <c r="Q181" s="399"/>
      <c r="R181" s="399"/>
      <c r="S181" s="399"/>
      <c r="T181" s="399"/>
      <c r="U181" s="400"/>
    </row>
    <row r="182" s="299" customFormat="1" spans="1:21">
      <c r="A182" s="344"/>
      <c r="C182" s="396"/>
      <c r="D182" s="397"/>
      <c r="E182" s="397"/>
      <c r="F182" s="398"/>
      <c r="G182" s="399"/>
      <c r="H182" s="399"/>
      <c r="I182" s="399"/>
      <c r="J182" s="399"/>
      <c r="K182" s="399"/>
      <c r="L182" s="399"/>
      <c r="M182" s="399"/>
      <c r="N182" s="399"/>
      <c r="O182" s="399"/>
      <c r="P182" s="399"/>
      <c r="Q182" s="399"/>
      <c r="R182" s="399"/>
      <c r="S182" s="399"/>
      <c r="T182" s="399"/>
      <c r="U182" s="400"/>
    </row>
    <row r="183" s="299" customFormat="1" spans="1:21">
      <c r="A183" s="344"/>
      <c r="C183" s="396"/>
      <c r="D183" s="397"/>
      <c r="E183" s="397"/>
      <c r="F183" s="398"/>
      <c r="G183" s="399"/>
      <c r="H183" s="399"/>
      <c r="I183" s="399"/>
      <c r="J183" s="399"/>
      <c r="K183" s="399"/>
      <c r="L183" s="399"/>
      <c r="M183" s="399"/>
      <c r="N183" s="399"/>
      <c r="O183" s="399"/>
      <c r="P183" s="399"/>
      <c r="Q183" s="399"/>
      <c r="R183" s="399"/>
      <c r="S183" s="399"/>
      <c r="T183" s="399"/>
      <c r="U183" s="400"/>
    </row>
    <row r="184" s="153" customFormat="1" spans="1:21">
      <c r="A184" s="281"/>
      <c r="C184" s="154"/>
      <c r="D184" s="301"/>
      <c r="E184" s="301"/>
      <c r="F184" s="302"/>
      <c r="G184" s="155"/>
      <c r="H184" s="155"/>
      <c r="I184" s="155"/>
      <c r="J184" s="155"/>
      <c r="K184" s="155"/>
      <c r="L184" s="155"/>
      <c r="M184" s="155"/>
      <c r="N184" s="155"/>
      <c r="O184" s="155"/>
      <c r="P184" s="155"/>
      <c r="Q184" s="155"/>
      <c r="R184" s="155"/>
      <c r="S184" s="155"/>
      <c r="T184" s="155"/>
      <c r="U184" s="303"/>
    </row>
    <row r="185" s="153" customFormat="1" spans="1:21">
      <c r="A185" s="281"/>
      <c r="C185" s="154"/>
      <c r="D185" s="301"/>
      <c r="E185" s="301"/>
      <c r="F185" s="302"/>
      <c r="G185" s="155"/>
      <c r="H185" s="155"/>
      <c r="I185" s="155"/>
      <c r="J185" s="155"/>
      <c r="K185" s="155"/>
      <c r="L185" s="155"/>
      <c r="M185" s="155"/>
      <c r="N185" s="155"/>
      <c r="O185" s="155"/>
      <c r="P185" s="155"/>
      <c r="Q185" s="155"/>
      <c r="R185" s="155"/>
      <c r="S185" s="155"/>
      <c r="T185" s="155"/>
      <c r="U185" s="303"/>
    </row>
    <row r="186" s="153" customFormat="1" spans="1:21">
      <c r="A186" s="281"/>
      <c r="C186" s="154"/>
      <c r="D186" s="301"/>
      <c r="E186" s="301"/>
      <c r="F186" s="302"/>
      <c r="G186" s="155"/>
      <c r="H186" s="155"/>
      <c r="I186" s="155"/>
      <c r="J186" s="155"/>
      <c r="K186" s="155"/>
      <c r="L186" s="155"/>
      <c r="M186" s="155"/>
      <c r="N186" s="155"/>
      <c r="O186" s="155"/>
      <c r="P186" s="155"/>
      <c r="Q186" s="155"/>
      <c r="R186" s="155"/>
      <c r="S186" s="155"/>
      <c r="T186" s="155"/>
      <c r="U186" s="303"/>
    </row>
    <row r="187" s="153" customFormat="1" spans="1:21">
      <c r="A187" s="281"/>
      <c r="C187" s="154"/>
      <c r="D187" s="301"/>
      <c r="E187" s="301"/>
      <c r="F187" s="302"/>
      <c r="G187" s="155"/>
      <c r="H187" s="155"/>
      <c r="I187" s="155"/>
      <c r="J187" s="155"/>
      <c r="K187" s="155"/>
      <c r="L187" s="155"/>
      <c r="M187" s="155"/>
      <c r="N187" s="155"/>
      <c r="O187" s="155"/>
      <c r="P187" s="155"/>
      <c r="Q187" s="155"/>
      <c r="R187" s="155"/>
      <c r="S187" s="155"/>
      <c r="T187" s="155"/>
      <c r="U187" s="303"/>
    </row>
  </sheetData>
  <mergeCells count="21">
    <mergeCell ref="C1:U1"/>
    <mergeCell ref="T2:U2"/>
    <mergeCell ref="F3:L3"/>
    <mergeCell ref="N3:T3"/>
    <mergeCell ref="S4:T4"/>
    <mergeCell ref="C3:C5"/>
    <mergeCell ref="F4:F5"/>
    <mergeCell ref="G4:G5"/>
    <mergeCell ref="H4:H5"/>
    <mergeCell ref="I4:I5"/>
    <mergeCell ref="J4:J5"/>
    <mergeCell ref="K4:K5"/>
    <mergeCell ref="L4:L5"/>
    <mergeCell ref="M4:M5"/>
    <mergeCell ref="N4:N5"/>
    <mergeCell ref="O4:O5"/>
    <mergeCell ref="P4:P5"/>
    <mergeCell ref="Q4:Q5"/>
    <mergeCell ref="R4:R5"/>
    <mergeCell ref="U3:U5"/>
    <mergeCell ref="D3:E4"/>
  </mergeCells>
  <dataValidations count="5">
    <dataValidation type="whole" operator="between" allowBlank="1" showInputMessage="1" showErrorMessage="1" sqref="W4">
      <formula1>-100000</formula1>
      <formula2>100000</formula2>
    </dataValidation>
    <dataValidation type="decimal" operator="between" allowBlank="1" showInputMessage="1" showErrorMessage="1" error="请输入整数！" sqref="D7:U7">
      <formula1>-100000000</formula1>
      <formula2>100000000</formula2>
    </dataValidation>
    <dataValidation type="whole" operator="between" allowBlank="1" showInputMessage="1" showErrorMessage="1" error="请输入整数！" sqref="V7 D10:E10 G10:M10 S10:T10 D30:E30 G30:M30 S30:T30 S32:T32 D36:E36 G36:L36 S36:T36 V36 S39 S40:T40 V43 D45:E45 G45:M45 D60:E60 G64:M64 G65:L65 D72:E72 G72:M72 S72:T72 S73 D74:E74 G74:M74 S74:T74 S82 S84 S87 S90 S94 D101:E101 G101:M101 S102 S118 D120:E120 G120:M120 V120 S140 S145 S148 S41:S42 S70:S71 S111:S112 S121:S122 S131:S132 S142:S143 S150:S154 S163:S164 V130:V131 D64:E65 S43:T45 S59:T60 S64:T65">
      <formula1>-100000000</formula1>
      <formula2>100000000</formula2>
    </dataValidation>
    <dataValidation allowBlank="1" showInputMessage="1" showErrorMessage="1" error="请输入整数！" sqref="T82 T84 T90 T94 T102 T132 T140 T145 T148 T70:T71 T121:T122 T142:T143 T163:T164"/>
    <dataValidation type="decimal" operator="between" allowBlank="1" showInputMessage="1" showErrorMessage="1" sqref="F187">
      <formula1>-100000</formula1>
      <formula2>100000</formula2>
    </dataValidation>
  </dataValidations>
  <pageMargins left="0.393055555555556" right="0.196527777777778" top="0.471527777777778" bottom="0.432638888888889" header="0.15625" footer="0.313888888888889"/>
  <pageSetup paperSize="9" scale="65" orientation="landscape"/>
  <headerFooter alignWithMargins="0">
    <oddFooter>&amp;C第 &amp;P 页</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84"/>
  <sheetViews>
    <sheetView topLeftCell="B1" workbookViewId="0">
      <pane xSplit="1" ySplit="6" topLeftCell="C7" activePane="bottomRight" state="frozen"/>
      <selection/>
      <selection pane="topRight"/>
      <selection pane="bottomLeft"/>
      <selection pane="bottomRight" activeCell="H16" sqref="H16"/>
    </sheetView>
  </sheetViews>
  <sheetFormatPr defaultColWidth="9" defaultRowHeight="15.75"/>
  <cols>
    <col min="1" max="1" width="8.75" style="227" customWidth="1"/>
    <col min="2" max="2" width="36.25" style="154" customWidth="1"/>
    <col min="3" max="3" width="6.875" style="228" customWidth="1"/>
    <col min="4" max="4" width="5.875" style="228" customWidth="1"/>
    <col min="5" max="5" width="5.125" style="155" customWidth="1"/>
    <col min="6" max="6" width="4.625" style="155" customWidth="1"/>
    <col min="7" max="7" width="10.75" style="155" customWidth="1"/>
    <col min="8" max="8" width="9.625" style="155" customWidth="1"/>
    <col min="9" max="9" width="8.875" style="155" customWidth="1"/>
    <col min="10" max="10" width="5.875" style="155" customWidth="1"/>
    <col min="11" max="11" width="8.125" style="155" customWidth="1"/>
    <col min="12" max="12" width="9.125" style="155" customWidth="1"/>
    <col min="13" max="13" width="8.5" style="155" customWidth="1"/>
    <col min="14" max="14" width="7.5" customWidth="1"/>
    <col min="15" max="15" width="10" customWidth="1"/>
    <col min="16" max="16" width="9" style="229"/>
    <col min="17" max="17" width="9.75" customWidth="1"/>
  </cols>
  <sheetData>
    <row r="1" ht="25.5" spans="1:21">
      <c r="B1" s="158" t="s">
        <v>350</v>
      </c>
      <c r="C1" s="230"/>
      <c r="D1" s="230"/>
      <c r="E1" s="158"/>
      <c r="F1" s="158"/>
      <c r="G1" s="158"/>
      <c r="H1" s="158"/>
      <c r="I1" s="158"/>
      <c r="J1" s="158"/>
      <c r="K1" s="158"/>
      <c r="L1" s="158"/>
      <c r="M1" s="158"/>
      <c r="N1" s="231"/>
    </row>
    <row r="2" ht="17.1" customHeight="1" spans="1:21">
      <c r="B2" s="232"/>
      <c r="L2" s="233" t="s">
        <v>1</v>
      </c>
      <c r="M2" s="234"/>
    </row>
    <row r="3" ht="18.95" customHeight="1" spans="1:21">
      <c r="B3" s="235" t="s">
        <v>145</v>
      </c>
      <c r="C3" s="236" t="s">
        <v>146</v>
      </c>
      <c r="D3" s="236"/>
      <c r="E3" s="237"/>
      <c r="F3" s="238"/>
      <c r="G3" s="239" t="s">
        <v>351</v>
      </c>
      <c r="H3" s="240"/>
      <c r="I3" s="240"/>
      <c r="J3" s="240"/>
      <c r="K3" s="240"/>
      <c r="L3" s="241"/>
      <c r="M3" s="242" t="s">
        <v>352</v>
      </c>
      <c r="N3" s="243"/>
    </row>
    <row r="4" ht="15.95" customHeight="1" spans="1:21">
      <c r="B4" s="235"/>
      <c r="C4" s="244"/>
      <c r="D4" s="244"/>
      <c r="E4" s="245"/>
      <c r="F4" s="246"/>
      <c r="G4" s="247" t="s">
        <v>353</v>
      </c>
      <c r="H4" s="242" t="s">
        <v>354</v>
      </c>
      <c r="I4" s="242" t="s">
        <v>355</v>
      </c>
      <c r="J4" s="248" t="s">
        <v>356</v>
      </c>
      <c r="K4" s="248"/>
      <c r="L4" s="242" t="s">
        <v>357</v>
      </c>
      <c r="M4" s="249"/>
      <c r="N4" s="243"/>
    </row>
    <row r="5" ht="38.1" customHeight="1" spans="1:21">
      <c r="B5" s="235"/>
      <c r="C5" s="250" t="s">
        <v>358</v>
      </c>
      <c r="D5" s="251" t="s">
        <v>359</v>
      </c>
      <c r="E5" s="248" t="s">
        <v>360</v>
      </c>
      <c r="F5" s="252" t="s">
        <v>361</v>
      </c>
      <c r="G5" s="248"/>
      <c r="H5" s="253"/>
      <c r="I5" s="253"/>
      <c r="J5" s="248" t="s">
        <v>362</v>
      </c>
      <c r="K5" s="248" t="s">
        <v>167</v>
      </c>
      <c r="L5" s="253"/>
      <c r="M5" s="254"/>
      <c r="N5" s="255"/>
    </row>
    <row r="6" ht="25.9" customHeight="1" spans="1:21">
      <c r="B6" s="256" t="s">
        <v>168</v>
      </c>
      <c r="C6" s="257">
        <f t="shared" ref="C6:I6" si="0">C7+C64+C72+C86+C89+C99+C109+C116+C118+C128+C146+C152+C154+C157+C163</f>
        <v>10233</v>
      </c>
      <c r="D6" s="257">
        <f t="shared" si="0"/>
        <v>6075</v>
      </c>
      <c r="E6" s="258">
        <f t="shared" si="0"/>
        <v>160</v>
      </c>
      <c r="F6" s="258">
        <f t="shared" si="0"/>
        <v>58</v>
      </c>
      <c r="G6" s="258">
        <f t="shared" si="0"/>
        <v>9450.1106</v>
      </c>
      <c r="H6" s="258">
        <f t="shared" si="0"/>
        <v>102.33</v>
      </c>
      <c r="I6" s="258">
        <f t="shared" si="0"/>
        <v>30.699</v>
      </c>
      <c r="J6" s="259"/>
      <c r="K6" s="260">
        <f>K7+K64+K72+K86+K89+K99+K109+K116+K118+K128+K146+K152+K154+K157+K163</f>
        <v>7618.5</v>
      </c>
      <c r="L6" s="261">
        <f>L7+L64+L72+L86+L89+L99+L109+L116+L118+L128+L146+L152+L154+L157+L163</f>
        <v>1698.5816</v>
      </c>
      <c r="M6" s="262">
        <f>C6*0.004</f>
        <v>40.932</v>
      </c>
      <c r="N6" s="263"/>
    </row>
    <row r="7" ht="17.1" customHeight="1" spans="1:21">
      <c r="B7" s="169" t="s">
        <v>13</v>
      </c>
      <c r="C7" s="257">
        <f>SUM(C8:C10,C30,C32:C33,C35:C36,C38:C40,C43,C45:C45,C59:C60)</f>
        <v>2328</v>
      </c>
      <c r="D7" s="257">
        <f>SUM(D8:D10,D30,D32:D33,D35:D36,D38:D40,D43,D45:D45,D59:D60)</f>
        <v>1022</v>
      </c>
      <c r="E7" s="258">
        <f>SUM(E8:E10,E30,E32:E33,E35:E36,E38:E40,E43,E45:E45,E59:E60)</f>
        <v>0</v>
      </c>
      <c r="F7" s="258">
        <f>SUM(F8:F10,F30,F32:F33,F35:F36,F38:F40,F43,F45:F45,F59:F60)</f>
        <v>50</v>
      </c>
      <c r="G7" s="264">
        <f>H7+I7+K7+L7</f>
        <v>4480.681</v>
      </c>
      <c r="H7" s="265">
        <f>C7*100/10000</f>
        <v>23.28</v>
      </c>
      <c r="I7" s="265">
        <f>C7*30/10000</f>
        <v>6.984</v>
      </c>
      <c r="J7" s="258">
        <f>SUM(J8:J10,J30,J32:J33,J35:J36,J38:J43,J45:J45,J59:J60)</f>
        <v>19</v>
      </c>
      <c r="K7" s="258">
        <f>SUM(K8:K10,K30,K32:K33,K35:K36,K38:K40,K43,K45:K45,K59:K60)</f>
        <v>3525.5</v>
      </c>
      <c r="L7" s="258">
        <f>SUM(L8:L10,L30,L32:L33,L35:L36,L38:L40,L43,L45:L45,L59:L60)</f>
        <v>924.917</v>
      </c>
      <c r="M7" s="258">
        <f>SUM(M8:M10,M30,M32:M33,M35:M36,M38:M40,M43,M45:M45,M59:M60)</f>
        <v>9.312</v>
      </c>
      <c r="N7" s="263"/>
    </row>
    <row r="8" ht="17.1" customHeight="1" spans="1:21">
      <c r="A8" s="227">
        <v>1</v>
      </c>
      <c r="B8" s="172" t="s">
        <v>171</v>
      </c>
      <c r="C8" s="257">
        <v>44</v>
      </c>
      <c r="D8" s="266">
        <v>35</v>
      </c>
      <c r="E8" s="258"/>
      <c r="F8" s="258">
        <v>8</v>
      </c>
      <c r="G8" s="264">
        <f t="shared" ref="G7:G13" si="1">H8+I8+K8+L8</f>
        <v>82.959</v>
      </c>
      <c r="H8" s="265">
        <f>C8*100/10000</f>
        <v>0.44</v>
      </c>
      <c r="I8" s="265">
        <f>C8*30/10000</f>
        <v>0.132</v>
      </c>
      <c r="J8" s="258">
        <v>1</v>
      </c>
      <c r="K8" s="258">
        <f>J8*C8</f>
        <v>44</v>
      </c>
      <c r="L8" s="258">
        <v>38.387</v>
      </c>
      <c r="M8" s="258">
        <f>C8*0.004</f>
        <v>0.176</v>
      </c>
      <c r="N8" s="267"/>
    </row>
    <row r="9" ht="17.1" customHeight="1" spans="1:21">
      <c r="A9" s="227">
        <v>2</v>
      </c>
      <c r="B9" s="172" t="s">
        <v>172</v>
      </c>
      <c r="C9" s="257">
        <v>39</v>
      </c>
      <c r="D9" s="268">
        <v>20</v>
      </c>
      <c r="E9" s="258"/>
      <c r="F9" s="258">
        <v>8</v>
      </c>
      <c r="G9" s="264">
        <f t="shared" si="1"/>
        <v>70.012</v>
      </c>
      <c r="H9" s="265">
        <f>C9*100/10000</f>
        <v>0.39</v>
      </c>
      <c r="I9" s="265">
        <f>C9*30/10000</f>
        <v>0.117</v>
      </c>
      <c r="J9" s="258">
        <v>1</v>
      </c>
      <c r="K9" s="258">
        <f>J9*C9</f>
        <v>39</v>
      </c>
      <c r="L9" s="258">
        <v>30.505</v>
      </c>
      <c r="M9" s="258">
        <f>C9*0.004</f>
        <v>0.156</v>
      </c>
      <c r="N9" s="267"/>
      <c r="T9" s="227"/>
      <c r="U9" s="227"/>
    </row>
    <row r="10" ht="17.1" customHeight="1" spans="1:21">
      <c r="B10" s="269" t="s">
        <v>363</v>
      </c>
      <c r="C10" s="257">
        <f>SUM(C11:C29)</f>
        <v>1508</v>
      </c>
      <c r="D10" s="257">
        <f>SUM(D11:D29)</f>
        <v>572</v>
      </c>
      <c r="E10" s="258">
        <f>SUM(E11:E29)</f>
        <v>0</v>
      </c>
      <c r="F10" s="258">
        <f>SUM(F11:F29)</f>
        <v>20</v>
      </c>
      <c r="G10" s="264">
        <f t="shared" si="1"/>
        <v>2727.615</v>
      </c>
      <c r="H10" s="265">
        <f>C10*100/10000</f>
        <v>15.08</v>
      </c>
      <c r="I10" s="265">
        <f>C10*30/10000</f>
        <v>4.524</v>
      </c>
      <c r="J10" s="258"/>
      <c r="K10" s="258">
        <f>SUM(K11:K29)</f>
        <v>2215.5</v>
      </c>
      <c r="L10" s="258">
        <f>SUM(L11:L29)</f>
        <v>492.511</v>
      </c>
      <c r="M10" s="258">
        <f>C10*0.004</f>
        <v>6.032</v>
      </c>
      <c r="N10" s="263"/>
      <c r="T10" s="227"/>
      <c r="U10" s="227">
        <v>7345</v>
      </c>
    </row>
    <row r="11" ht="17.1" customHeight="1" spans="1:21">
      <c r="A11" s="227">
        <v>3</v>
      </c>
      <c r="B11" s="182" t="s">
        <v>174</v>
      </c>
      <c r="C11" s="257">
        <v>58</v>
      </c>
      <c r="D11" s="257">
        <v>29</v>
      </c>
      <c r="E11" s="258"/>
      <c r="F11" s="258">
        <v>18</v>
      </c>
      <c r="G11" s="264">
        <f t="shared" si="1"/>
        <v>103.944</v>
      </c>
      <c r="H11" s="265">
        <f>C11*100/10000</f>
        <v>0.58</v>
      </c>
      <c r="I11" s="265">
        <f>C11*30/10000</f>
        <v>0.174</v>
      </c>
      <c r="J11" s="258">
        <v>1</v>
      </c>
      <c r="K11" s="258">
        <f>J11*C11</f>
        <v>58</v>
      </c>
      <c r="L11" s="258">
        <v>45.19</v>
      </c>
      <c r="M11" s="258">
        <f>C11*0.004</f>
        <v>0.232</v>
      </c>
      <c r="N11" s="270"/>
      <c r="O11" s="157"/>
      <c r="P11" s="271"/>
      <c r="T11" s="272"/>
      <c r="U11" s="227"/>
    </row>
    <row r="12" ht="17.1" customHeight="1" spans="1:21">
      <c r="B12" s="182" t="s">
        <v>176</v>
      </c>
      <c r="C12" s="257">
        <v>3</v>
      </c>
      <c r="D12" s="257"/>
      <c r="E12" s="258"/>
      <c r="F12" s="258"/>
      <c r="G12" s="264">
        <f t="shared" si="1"/>
        <v>0</v>
      </c>
      <c r="H12" s="265"/>
      <c r="I12" s="265"/>
      <c r="J12" s="258"/>
      <c r="K12" s="258"/>
      <c r="L12" s="258"/>
      <c r="M12" s="258"/>
      <c r="N12" s="263"/>
      <c r="T12" s="227"/>
      <c r="U12" s="227"/>
    </row>
    <row r="13" ht="17.1" customHeight="1" spans="1:21">
      <c r="B13" s="182" t="s">
        <v>178</v>
      </c>
      <c r="C13" s="257">
        <v>21</v>
      </c>
      <c r="D13" s="257">
        <v>2</v>
      </c>
      <c r="E13" s="258"/>
      <c r="F13" s="258"/>
      <c r="G13" s="264">
        <f t="shared" si="1"/>
        <v>27.933</v>
      </c>
      <c r="H13" s="265">
        <f>C13*100/10000</f>
        <v>0.21</v>
      </c>
      <c r="I13" s="265">
        <f>C13*30/10000</f>
        <v>0.063</v>
      </c>
      <c r="J13" s="258">
        <v>1</v>
      </c>
      <c r="K13" s="258">
        <f t="shared" ref="K13:K29" si="2">J13*C13</f>
        <v>21</v>
      </c>
      <c r="L13" s="258">
        <v>6.66</v>
      </c>
      <c r="M13" s="258">
        <f>C13*0.004</f>
        <v>0.084</v>
      </c>
      <c r="N13" s="263"/>
      <c r="T13" s="273"/>
      <c r="U13" s="227"/>
    </row>
    <row r="14" ht="17.1" customHeight="1" spans="1:21">
      <c r="B14" s="182" t="s">
        <v>179</v>
      </c>
      <c r="C14" s="257">
        <v>51</v>
      </c>
      <c r="D14" s="257">
        <v>15</v>
      </c>
      <c r="E14" s="258"/>
      <c r="F14" s="258">
        <v>2</v>
      </c>
      <c r="G14" s="264">
        <f t="shared" ref="G14:G29" si="3">H14+I14+K14+L14</f>
        <v>77.715</v>
      </c>
      <c r="H14" s="265">
        <f t="shared" ref="H14:H32" si="4">C14*100/10000</f>
        <v>0.51</v>
      </c>
      <c r="I14" s="265">
        <f t="shared" ref="I14:I32" si="5">C14*30/10000</f>
        <v>0.153</v>
      </c>
      <c r="J14" s="258">
        <v>1</v>
      </c>
      <c r="K14" s="258">
        <f t="shared" si="2"/>
        <v>51</v>
      </c>
      <c r="L14" s="258">
        <v>26.052</v>
      </c>
      <c r="M14" s="258">
        <f t="shared" ref="M14:M40" si="6">C14*0.004</f>
        <v>0.204</v>
      </c>
      <c r="N14" s="274" t="s">
        <v>180</v>
      </c>
      <c r="O14" s="153"/>
      <c r="T14" s="273"/>
      <c r="U14" s="227"/>
    </row>
    <row r="15" ht="17.1" customHeight="1" spans="1:21">
      <c r="B15" s="182" t="s">
        <v>181</v>
      </c>
      <c r="C15" s="275">
        <v>233</v>
      </c>
      <c r="D15" s="257">
        <v>103</v>
      </c>
      <c r="E15" s="258"/>
      <c r="F15" s="258"/>
      <c r="G15" s="264">
        <f t="shared" si="3"/>
        <v>403.209</v>
      </c>
      <c r="H15" s="265">
        <f t="shared" si="4"/>
        <v>2.33</v>
      </c>
      <c r="I15" s="265">
        <f t="shared" si="5"/>
        <v>0.699</v>
      </c>
      <c r="J15" s="258">
        <v>1.5</v>
      </c>
      <c r="K15" s="258">
        <f t="shared" si="2"/>
        <v>349.5</v>
      </c>
      <c r="L15" s="258">
        <v>50.68</v>
      </c>
      <c r="M15" s="258">
        <f t="shared" si="6"/>
        <v>0.932</v>
      </c>
      <c r="N15" s="263">
        <v>173</v>
      </c>
      <c r="T15" s="273"/>
      <c r="U15" s="227"/>
    </row>
    <row r="16" ht="17.1" customHeight="1" spans="1:21">
      <c r="B16" s="276" t="s">
        <v>183</v>
      </c>
      <c r="C16" s="275">
        <v>90</v>
      </c>
      <c r="D16" s="257">
        <v>45</v>
      </c>
      <c r="E16" s="258"/>
      <c r="F16" s="258"/>
      <c r="G16" s="264">
        <f t="shared" si="3"/>
        <v>165.333</v>
      </c>
      <c r="H16" s="265">
        <f t="shared" si="4"/>
        <v>0.9</v>
      </c>
      <c r="I16" s="265">
        <f t="shared" si="5"/>
        <v>0.27</v>
      </c>
      <c r="J16" s="258">
        <v>1.5</v>
      </c>
      <c r="K16" s="258">
        <f t="shared" si="2"/>
        <v>135</v>
      </c>
      <c r="L16" s="258">
        <v>29.163</v>
      </c>
      <c r="M16" s="258">
        <f t="shared" si="6"/>
        <v>0.36</v>
      </c>
      <c r="N16" s="263">
        <v>68</v>
      </c>
      <c r="T16" s="273"/>
      <c r="U16" s="227"/>
    </row>
    <row r="17" ht="17.1" customHeight="1" spans="1:21">
      <c r="B17" s="276" t="s">
        <v>185</v>
      </c>
      <c r="C17" s="275">
        <v>105</v>
      </c>
      <c r="D17" s="257">
        <v>49</v>
      </c>
      <c r="E17" s="258"/>
      <c r="F17" s="258"/>
      <c r="G17" s="264">
        <f t="shared" si="3"/>
        <v>190.975</v>
      </c>
      <c r="H17" s="265">
        <f t="shared" si="4"/>
        <v>1.05</v>
      </c>
      <c r="I17" s="265">
        <f t="shared" si="5"/>
        <v>0.315</v>
      </c>
      <c r="J17" s="258">
        <v>1.5</v>
      </c>
      <c r="K17" s="258">
        <f t="shared" si="2"/>
        <v>157.5</v>
      </c>
      <c r="L17" s="258">
        <v>32.11</v>
      </c>
      <c r="M17" s="258">
        <f t="shared" si="6"/>
        <v>0.42</v>
      </c>
      <c r="N17" s="263">
        <v>70</v>
      </c>
      <c r="T17" s="273"/>
      <c r="U17" s="227"/>
    </row>
    <row r="18" ht="17.1" customHeight="1" spans="1:21">
      <c r="B18" s="182" t="s">
        <v>186</v>
      </c>
      <c r="C18" s="275">
        <v>60</v>
      </c>
      <c r="D18" s="257">
        <v>18</v>
      </c>
      <c r="E18" s="258"/>
      <c r="F18" s="258"/>
      <c r="G18" s="264">
        <f t="shared" si="3"/>
        <v>109.66</v>
      </c>
      <c r="H18" s="265">
        <f t="shared" si="4"/>
        <v>0.6</v>
      </c>
      <c r="I18" s="265">
        <f t="shared" si="5"/>
        <v>0.18</v>
      </c>
      <c r="J18" s="258">
        <v>1.5</v>
      </c>
      <c r="K18" s="258">
        <f t="shared" si="2"/>
        <v>90</v>
      </c>
      <c r="L18" s="258">
        <v>18.88</v>
      </c>
      <c r="M18" s="258">
        <f t="shared" si="6"/>
        <v>0.24</v>
      </c>
      <c r="N18" s="263">
        <v>43</v>
      </c>
      <c r="T18" s="273"/>
      <c r="U18" s="227"/>
    </row>
    <row r="19" ht="17.1" customHeight="1" spans="1:21">
      <c r="B19" s="182" t="s">
        <v>187</v>
      </c>
      <c r="C19" s="275">
        <v>69</v>
      </c>
      <c r="D19" s="257">
        <v>18</v>
      </c>
      <c r="E19" s="258"/>
      <c r="F19" s="258"/>
      <c r="G19" s="264">
        <f t="shared" si="3"/>
        <v>125.587</v>
      </c>
      <c r="H19" s="265">
        <f t="shared" si="4"/>
        <v>0.69</v>
      </c>
      <c r="I19" s="265">
        <f t="shared" si="5"/>
        <v>0.207</v>
      </c>
      <c r="J19" s="258">
        <v>1.5</v>
      </c>
      <c r="K19" s="258">
        <f t="shared" si="2"/>
        <v>103.5</v>
      </c>
      <c r="L19" s="258">
        <v>21.19</v>
      </c>
      <c r="M19" s="258">
        <f t="shared" si="6"/>
        <v>0.276</v>
      </c>
      <c r="N19" s="263">
        <v>53</v>
      </c>
      <c r="T19" s="273"/>
      <c r="U19" s="227"/>
    </row>
    <row r="20" s="225" customFormat="1" ht="17.1" customHeight="1" spans="1:21">
      <c r="A20" s="277"/>
      <c r="B20" s="206" t="s">
        <v>188</v>
      </c>
      <c r="C20" s="275">
        <v>82</v>
      </c>
      <c r="D20" s="224">
        <v>32</v>
      </c>
      <c r="E20" s="265"/>
      <c r="F20" s="265"/>
      <c r="G20" s="264">
        <f t="shared" si="3"/>
        <v>149.772</v>
      </c>
      <c r="H20" s="265">
        <f t="shared" si="4"/>
        <v>0.82</v>
      </c>
      <c r="I20" s="265">
        <f t="shared" si="5"/>
        <v>0.246</v>
      </c>
      <c r="J20" s="265">
        <v>1.5</v>
      </c>
      <c r="K20" s="258">
        <f t="shared" si="2"/>
        <v>123</v>
      </c>
      <c r="L20" s="265">
        <v>25.706</v>
      </c>
      <c r="M20" s="258">
        <f t="shared" si="6"/>
        <v>0.328</v>
      </c>
      <c r="N20" s="278">
        <v>60</v>
      </c>
      <c r="P20" s="279"/>
      <c r="T20" s="273"/>
      <c r="U20" s="277"/>
    </row>
    <row r="21" ht="17.1" customHeight="1" spans="1:21">
      <c r="B21" s="182" t="s">
        <v>189</v>
      </c>
      <c r="C21" s="275">
        <v>106</v>
      </c>
      <c r="D21" s="257">
        <v>50</v>
      </c>
      <c r="E21" s="258"/>
      <c r="F21" s="258"/>
      <c r="G21" s="264">
        <f t="shared" si="3"/>
        <v>196.663</v>
      </c>
      <c r="H21" s="265">
        <f t="shared" si="4"/>
        <v>1.06</v>
      </c>
      <c r="I21" s="265">
        <f t="shared" si="5"/>
        <v>0.318</v>
      </c>
      <c r="J21" s="258">
        <v>1.5</v>
      </c>
      <c r="K21" s="258">
        <f t="shared" si="2"/>
        <v>159</v>
      </c>
      <c r="L21" s="258">
        <v>36.285</v>
      </c>
      <c r="M21" s="258">
        <f t="shared" si="6"/>
        <v>0.424</v>
      </c>
      <c r="N21" s="263">
        <v>76</v>
      </c>
      <c r="T21" s="273"/>
      <c r="U21" s="227"/>
    </row>
    <row r="22" ht="17.1" customHeight="1" spans="1:21">
      <c r="B22" s="182" t="s">
        <v>190</v>
      </c>
      <c r="C22" s="275">
        <v>56</v>
      </c>
      <c r="D22" s="257">
        <v>13</v>
      </c>
      <c r="E22" s="258"/>
      <c r="F22" s="258"/>
      <c r="G22" s="264">
        <f t="shared" si="3"/>
        <v>102.488</v>
      </c>
      <c r="H22" s="265">
        <f t="shared" si="4"/>
        <v>0.56</v>
      </c>
      <c r="I22" s="265">
        <f t="shared" si="5"/>
        <v>0.168</v>
      </c>
      <c r="J22" s="258">
        <v>1.5</v>
      </c>
      <c r="K22" s="258">
        <f t="shared" si="2"/>
        <v>84</v>
      </c>
      <c r="L22" s="258">
        <v>17.76</v>
      </c>
      <c r="M22" s="258">
        <f t="shared" si="6"/>
        <v>0.224</v>
      </c>
      <c r="N22" s="263">
        <v>42</v>
      </c>
      <c r="T22" s="273"/>
      <c r="U22" s="227"/>
    </row>
    <row r="23" ht="17.1" customHeight="1" spans="1:21">
      <c r="B23" s="182" t="s">
        <v>191</v>
      </c>
      <c r="C23" s="275">
        <v>83</v>
      </c>
      <c r="D23" s="280">
        <v>32</v>
      </c>
      <c r="E23" s="258"/>
      <c r="F23" s="258"/>
      <c r="G23" s="264">
        <f t="shared" si="3"/>
        <v>153.899</v>
      </c>
      <c r="H23" s="265">
        <f t="shared" si="4"/>
        <v>0.83</v>
      </c>
      <c r="I23" s="265">
        <f t="shared" si="5"/>
        <v>0.249</v>
      </c>
      <c r="J23" s="258">
        <v>1.5</v>
      </c>
      <c r="K23" s="258">
        <f t="shared" si="2"/>
        <v>124.5</v>
      </c>
      <c r="L23" s="258">
        <v>28.32</v>
      </c>
      <c r="M23" s="258">
        <f t="shared" si="6"/>
        <v>0.332</v>
      </c>
      <c r="N23" s="263">
        <v>63</v>
      </c>
      <c r="T23" s="273"/>
      <c r="U23" s="227"/>
    </row>
    <row r="24" ht="17.1" customHeight="1" spans="1:21">
      <c r="B24" s="182" t="s">
        <v>192</v>
      </c>
      <c r="C24" s="275">
        <v>96</v>
      </c>
      <c r="D24" s="257">
        <v>29</v>
      </c>
      <c r="E24" s="258"/>
      <c r="F24" s="258"/>
      <c r="G24" s="264">
        <f t="shared" si="3"/>
        <v>179.133</v>
      </c>
      <c r="H24" s="265">
        <f t="shared" si="4"/>
        <v>0.96</v>
      </c>
      <c r="I24" s="265">
        <f t="shared" si="5"/>
        <v>0.288</v>
      </c>
      <c r="J24" s="258">
        <v>1.5</v>
      </c>
      <c r="K24" s="258">
        <f t="shared" si="2"/>
        <v>144</v>
      </c>
      <c r="L24" s="258">
        <v>33.885</v>
      </c>
      <c r="M24" s="258">
        <f t="shared" si="6"/>
        <v>0.384</v>
      </c>
      <c r="N24" s="263">
        <v>71</v>
      </c>
      <c r="T24" s="273"/>
      <c r="U24" s="227"/>
    </row>
    <row r="25" ht="17.1" customHeight="1" spans="1:21">
      <c r="B25" s="182" t="s">
        <v>193</v>
      </c>
      <c r="C25" s="275">
        <v>138</v>
      </c>
      <c r="D25" s="257">
        <v>52</v>
      </c>
      <c r="E25" s="258"/>
      <c r="F25" s="258"/>
      <c r="G25" s="264">
        <f t="shared" si="3"/>
        <v>268.874</v>
      </c>
      <c r="H25" s="265">
        <f t="shared" si="4"/>
        <v>1.38</v>
      </c>
      <c r="I25" s="265">
        <f t="shared" si="5"/>
        <v>0.414</v>
      </c>
      <c r="J25" s="258">
        <v>1.5</v>
      </c>
      <c r="K25" s="258">
        <v>230</v>
      </c>
      <c r="L25" s="258">
        <v>37.08</v>
      </c>
      <c r="M25" s="258">
        <f t="shared" si="6"/>
        <v>0.552</v>
      </c>
      <c r="N25" s="263">
        <v>92</v>
      </c>
      <c r="O25" s="157" t="s">
        <v>364</v>
      </c>
      <c r="S25">
        <v>57.5</v>
      </c>
      <c r="T25" s="273"/>
      <c r="U25" s="227"/>
    </row>
    <row r="26" ht="17.1" customHeight="1" spans="1:21">
      <c r="B26" s="182" t="s">
        <v>194</v>
      </c>
      <c r="C26" s="275">
        <v>70</v>
      </c>
      <c r="D26" s="257">
        <v>14</v>
      </c>
      <c r="E26" s="258"/>
      <c r="F26" s="258"/>
      <c r="G26" s="264">
        <f t="shared" si="3"/>
        <v>129.615</v>
      </c>
      <c r="H26" s="265">
        <f t="shared" si="4"/>
        <v>0.7</v>
      </c>
      <c r="I26" s="265">
        <f t="shared" si="5"/>
        <v>0.21</v>
      </c>
      <c r="J26" s="258">
        <v>1.5</v>
      </c>
      <c r="K26" s="258">
        <f t="shared" si="2"/>
        <v>105</v>
      </c>
      <c r="L26" s="258">
        <v>23.705</v>
      </c>
      <c r="M26" s="258">
        <f t="shared" si="6"/>
        <v>0.28</v>
      </c>
      <c r="N26" s="263">
        <v>50</v>
      </c>
      <c r="T26" s="273"/>
      <c r="U26" s="227"/>
    </row>
    <row r="27" ht="17.1" customHeight="1" spans="1:21">
      <c r="B27" s="182" t="s">
        <v>195</v>
      </c>
      <c r="C27" s="275">
        <v>59</v>
      </c>
      <c r="D27" s="257">
        <v>23</v>
      </c>
      <c r="E27" s="258"/>
      <c r="F27" s="258"/>
      <c r="G27" s="264">
        <f t="shared" si="3"/>
        <v>105.082</v>
      </c>
      <c r="H27" s="265">
        <f t="shared" si="4"/>
        <v>0.59</v>
      </c>
      <c r="I27" s="265">
        <f t="shared" si="5"/>
        <v>0.177</v>
      </c>
      <c r="J27" s="258">
        <v>1.5</v>
      </c>
      <c r="K27" s="258">
        <f t="shared" si="2"/>
        <v>88.5</v>
      </c>
      <c r="L27" s="258">
        <v>15.815</v>
      </c>
      <c r="M27" s="258">
        <f t="shared" si="6"/>
        <v>0.236</v>
      </c>
      <c r="N27" s="263">
        <v>43</v>
      </c>
      <c r="T27" s="273"/>
      <c r="U27" s="227"/>
    </row>
    <row r="28" ht="17.1" customHeight="1" spans="1:21">
      <c r="B28" s="182" t="s">
        <v>196</v>
      </c>
      <c r="C28" s="275">
        <v>60</v>
      </c>
      <c r="D28" s="280">
        <v>24</v>
      </c>
      <c r="E28" s="258"/>
      <c r="F28" s="258"/>
      <c r="G28" s="264">
        <f t="shared" si="3"/>
        <v>111.73</v>
      </c>
      <c r="H28" s="265">
        <f t="shared" si="4"/>
        <v>0.6</v>
      </c>
      <c r="I28" s="265">
        <f t="shared" si="5"/>
        <v>0.18</v>
      </c>
      <c r="J28" s="258">
        <v>1.5</v>
      </c>
      <c r="K28" s="258">
        <f t="shared" si="2"/>
        <v>90</v>
      </c>
      <c r="L28" s="258">
        <v>20.95</v>
      </c>
      <c r="M28" s="258">
        <f t="shared" si="6"/>
        <v>0.24</v>
      </c>
      <c r="N28" s="263">
        <v>51</v>
      </c>
      <c r="T28" s="273"/>
      <c r="U28" s="227"/>
    </row>
    <row r="29" ht="17.1" customHeight="1" spans="1:21">
      <c r="B29" s="276" t="s">
        <v>197</v>
      </c>
      <c r="C29" s="275">
        <v>68</v>
      </c>
      <c r="D29" s="257">
        <v>24</v>
      </c>
      <c r="E29" s="258"/>
      <c r="F29" s="258"/>
      <c r="G29" s="264">
        <f t="shared" si="3"/>
        <v>125.964</v>
      </c>
      <c r="H29" s="265">
        <f t="shared" si="4"/>
        <v>0.68</v>
      </c>
      <c r="I29" s="265">
        <f t="shared" si="5"/>
        <v>0.204</v>
      </c>
      <c r="J29" s="258">
        <v>1.5</v>
      </c>
      <c r="K29" s="258">
        <f t="shared" si="2"/>
        <v>102</v>
      </c>
      <c r="L29" s="258">
        <v>23.08</v>
      </c>
      <c r="M29" s="258">
        <f t="shared" si="6"/>
        <v>0.272</v>
      </c>
      <c r="N29" s="263">
        <v>56</v>
      </c>
      <c r="T29" s="273"/>
      <c r="U29" s="227"/>
    </row>
    <row r="30" ht="17.1" customHeight="1" spans="1:21">
      <c r="B30" s="172" t="s">
        <v>198</v>
      </c>
      <c r="C30" s="257">
        <f>SUM(C31:C31)</f>
        <v>40</v>
      </c>
      <c r="D30" s="257">
        <f>SUM(D31:D31)</f>
        <v>56</v>
      </c>
      <c r="E30" s="258">
        <f>SUM(E31:E31)</f>
        <v>0</v>
      </c>
      <c r="F30" s="258">
        <f>SUM(F31:F31)</f>
        <v>0</v>
      </c>
      <c r="G30" s="264">
        <f t="shared" ref="G30:G40" si="7">H30+I30+K30+L30</f>
        <v>63.584</v>
      </c>
      <c r="H30" s="265">
        <f t="shared" si="4"/>
        <v>0.4</v>
      </c>
      <c r="I30" s="265">
        <f t="shared" si="5"/>
        <v>0.12</v>
      </c>
      <c r="J30" s="258"/>
      <c r="K30" s="258">
        <f>SUM(K31:K31)</f>
        <v>40</v>
      </c>
      <c r="L30" s="258">
        <f>SUM(L31:L31)</f>
        <v>23.064</v>
      </c>
      <c r="M30" s="258">
        <f t="shared" si="6"/>
        <v>0.16</v>
      </c>
      <c r="N30" s="263"/>
      <c r="T30" s="227"/>
      <c r="U30" s="227"/>
    </row>
    <row r="31" ht="17.1" customHeight="1" spans="1:21">
      <c r="A31" s="227">
        <v>4</v>
      </c>
      <c r="B31" s="182" t="s">
        <v>199</v>
      </c>
      <c r="C31" s="257">
        <v>40</v>
      </c>
      <c r="D31" s="257">
        <v>56</v>
      </c>
      <c r="E31" s="258"/>
      <c r="F31" s="258"/>
      <c r="G31" s="264">
        <f t="shared" si="7"/>
        <v>63.584</v>
      </c>
      <c r="H31" s="265">
        <f t="shared" si="4"/>
        <v>0.4</v>
      </c>
      <c r="I31" s="265">
        <f t="shared" si="5"/>
        <v>0.12</v>
      </c>
      <c r="J31" s="258">
        <v>1</v>
      </c>
      <c r="K31" s="258">
        <f>J31*C31</f>
        <v>40</v>
      </c>
      <c r="L31" s="258">
        <v>23.064</v>
      </c>
      <c r="M31" s="258">
        <f t="shared" si="6"/>
        <v>0.16</v>
      </c>
      <c r="N31" s="267"/>
      <c r="T31" s="227"/>
      <c r="U31" s="227"/>
    </row>
    <row r="32" ht="17.1" customHeight="1" spans="1:21">
      <c r="B32" s="172" t="s">
        <v>200</v>
      </c>
      <c r="C32" s="257">
        <v>27</v>
      </c>
      <c r="D32" s="257">
        <v>7</v>
      </c>
      <c r="E32" s="258"/>
      <c r="F32" s="258"/>
      <c r="G32" s="264">
        <f t="shared" si="7"/>
        <v>38.859</v>
      </c>
      <c r="H32" s="265">
        <f t="shared" si="4"/>
        <v>0.27</v>
      </c>
      <c r="I32" s="265">
        <f t="shared" si="5"/>
        <v>0.081</v>
      </c>
      <c r="J32" s="258">
        <v>1</v>
      </c>
      <c r="K32" s="258">
        <f>J32*C32</f>
        <v>27</v>
      </c>
      <c r="L32" s="258">
        <v>11.508</v>
      </c>
      <c r="M32" s="258">
        <f t="shared" si="6"/>
        <v>0.108</v>
      </c>
      <c r="N32" s="267"/>
    </row>
    <row r="33" ht="17.1" customHeight="1" spans="1:16">
      <c r="A33" s="227">
        <v>18</v>
      </c>
      <c r="B33" s="172" t="s">
        <v>201</v>
      </c>
      <c r="C33" s="257">
        <f>C34</f>
        <v>92</v>
      </c>
      <c r="D33" s="257">
        <f t="shared" ref="D33:L33" si="8">D34</f>
        <v>47</v>
      </c>
      <c r="E33" s="258">
        <f t="shared" si="8"/>
        <v>0</v>
      </c>
      <c r="F33" s="258">
        <f t="shared" si="8"/>
        <v>1</v>
      </c>
      <c r="G33" s="264">
        <f t="shared" si="7"/>
        <v>122.614</v>
      </c>
      <c r="H33" s="258">
        <f t="shared" si="8"/>
        <v>0.92</v>
      </c>
      <c r="I33" s="258">
        <f t="shared" si="8"/>
        <v>0.276</v>
      </c>
      <c r="J33" s="258">
        <f t="shared" si="8"/>
        <v>1</v>
      </c>
      <c r="K33" s="258">
        <f t="shared" si="8"/>
        <v>92</v>
      </c>
      <c r="L33" s="258">
        <f t="shared" si="8"/>
        <v>29.418</v>
      </c>
      <c r="M33" s="258">
        <f t="shared" si="6"/>
        <v>0.368</v>
      </c>
      <c r="N33" s="263"/>
    </row>
    <row r="34" ht="17.1" customHeight="1" spans="1:16">
      <c r="B34" s="182" t="s">
        <v>202</v>
      </c>
      <c r="C34" s="257">
        <v>92</v>
      </c>
      <c r="D34" s="257">
        <v>47</v>
      </c>
      <c r="E34" s="258"/>
      <c r="F34" s="258">
        <v>1</v>
      </c>
      <c r="G34" s="264">
        <f t="shared" si="7"/>
        <v>122.614</v>
      </c>
      <c r="H34" s="265">
        <f t="shared" ref="H34:H42" si="9">C34*100/10000</f>
        <v>0.92</v>
      </c>
      <c r="I34" s="265">
        <f t="shared" ref="I34:I42" si="10">C34*30/10000</f>
        <v>0.276</v>
      </c>
      <c r="J34" s="258">
        <v>1</v>
      </c>
      <c r="K34" s="258">
        <f>J34*C34</f>
        <v>92</v>
      </c>
      <c r="L34" s="258">
        <v>29.418</v>
      </c>
      <c r="M34" s="258">
        <f t="shared" si="6"/>
        <v>0.368</v>
      </c>
      <c r="N34" s="270"/>
    </row>
    <row r="35" ht="17.1" customHeight="1" spans="1:16">
      <c r="A35" s="227">
        <v>21</v>
      </c>
      <c r="B35" s="172" t="s">
        <v>203</v>
      </c>
      <c r="C35" s="257">
        <v>28</v>
      </c>
      <c r="D35" s="257">
        <v>15</v>
      </c>
      <c r="E35" s="258"/>
      <c r="F35" s="258"/>
      <c r="G35" s="264">
        <f t="shared" si="7"/>
        <v>81.464</v>
      </c>
      <c r="H35" s="265">
        <f t="shared" si="9"/>
        <v>0.28</v>
      </c>
      <c r="I35" s="265">
        <f t="shared" si="10"/>
        <v>0.084</v>
      </c>
      <c r="J35" s="258">
        <v>2.5</v>
      </c>
      <c r="K35" s="258">
        <f>J35*C35</f>
        <v>70</v>
      </c>
      <c r="L35" s="258">
        <v>11.1</v>
      </c>
      <c r="M35" s="258">
        <f t="shared" si="6"/>
        <v>0.112</v>
      </c>
      <c r="N35" s="263"/>
    </row>
    <row r="36" ht="17.1" customHeight="1" spans="1:16">
      <c r="B36" s="172" t="s">
        <v>204</v>
      </c>
      <c r="C36" s="257">
        <f>SUM(C37:C37)</f>
        <v>14</v>
      </c>
      <c r="D36" s="257">
        <f>SUM(D37:D37)</f>
        <v>4</v>
      </c>
      <c r="E36" s="258"/>
      <c r="F36" s="258">
        <f>SUM(F37:F37)</f>
        <v>1</v>
      </c>
      <c r="G36" s="264">
        <f t="shared" si="7"/>
        <v>22.07</v>
      </c>
      <c r="H36" s="265">
        <f t="shared" si="9"/>
        <v>0.14</v>
      </c>
      <c r="I36" s="265">
        <f t="shared" si="10"/>
        <v>0.042</v>
      </c>
      <c r="J36" s="258"/>
      <c r="K36" s="258">
        <f>SUM(K37:K37)</f>
        <v>15</v>
      </c>
      <c r="L36" s="258">
        <f>SUM(L37:L37)</f>
        <v>6.888</v>
      </c>
      <c r="M36" s="258">
        <f t="shared" si="6"/>
        <v>0.056</v>
      </c>
      <c r="N36" s="263"/>
    </row>
    <row r="37" ht="17.1" customHeight="1" spans="1:16">
      <c r="A37" s="227">
        <v>28</v>
      </c>
      <c r="B37" s="182" t="s">
        <v>365</v>
      </c>
      <c r="C37" s="257">
        <v>14</v>
      </c>
      <c r="D37" s="257">
        <v>4</v>
      </c>
      <c r="E37" s="258"/>
      <c r="F37" s="258">
        <v>1</v>
      </c>
      <c r="G37" s="264">
        <f t="shared" si="7"/>
        <v>22.07</v>
      </c>
      <c r="H37" s="265">
        <f t="shared" si="9"/>
        <v>0.14</v>
      </c>
      <c r="I37" s="265">
        <f t="shared" si="10"/>
        <v>0.042</v>
      </c>
      <c r="J37" s="258"/>
      <c r="K37" s="258">
        <v>15</v>
      </c>
      <c r="L37" s="258">
        <v>6.888</v>
      </c>
      <c r="M37" s="258">
        <f t="shared" si="6"/>
        <v>0.056</v>
      </c>
      <c r="N37" s="263"/>
    </row>
    <row r="38" ht="17.1" customHeight="1" spans="1:16">
      <c r="A38" s="227">
        <v>36</v>
      </c>
      <c r="B38" s="172" t="s">
        <v>206</v>
      </c>
      <c r="C38" s="257">
        <v>91</v>
      </c>
      <c r="D38" s="257">
        <v>12</v>
      </c>
      <c r="E38" s="258"/>
      <c r="F38" s="258">
        <v>1</v>
      </c>
      <c r="G38" s="264">
        <f t="shared" si="7"/>
        <v>296.31</v>
      </c>
      <c r="H38" s="265">
        <f t="shared" si="9"/>
        <v>0.91</v>
      </c>
      <c r="I38" s="265">
        <f t="shared" si="10"/>
        <v>0.273</v>
      </c>
      <c r="J38" s="258">
        <v>2.5</v>
      </c>
      <c r="K38" s="258">
        <f>J38*C38</f>
        <v>227.5</v>
      </c>
      <c r="L38" s="258">
        <v>67.627</v>
      </c>
      <c r="M38" s="258">
        <f t="shared" si="6"/>
        <v>0.364</v>
      </c>
      <c r="N38" s="267"/>
    </row>
    <row r="39" ht="17.1" customHeight="1" spans="1:16">
      <c r="B39" s="172" t="s">
        <v>207</v>
      </c>
      <c r="C39" s="257">
        <v>29</v>
      </c>
      <c r="D39" s="280">
        <v>17</v>
      </c>
      <c r="E39" s="258"/>
      <c r="F39" s="258"/>
      <c r="G39" s="264">
        <f t="shared" si="7"/>
        <v>38.421</v>
      </c>
      <c r="H39" s="265">
        <f t="shared" si="9"/>
        <v>0.29</v>
      </c>
      <c r="I39" s="265">
        <f t="shared" si="10"/>
        <v>0.087</v>
      </c>
      <c r="J39" s="258">
        <v>1</v>
      </c>
      <c r="K39" s="258">
        <f>J39*C39</f>
        <v>29</v>
      </c>
      <c r="L39" s="258">
        <v>9.044</v>
      </c>
      <c r="M39" s="258">
        <f t="shared" si="6"/>
        <v>0.116</v>
      </c>
      <c r="N39" s="153"/>
    </row>
    <row r="40" ht="17" customHeight="1" spans="1:16">
      <c r="B40" s="172" t="s">
        <v>208</v>
      </c>
      <c r="C40" s="257">
        <f>C41+C42</f>
        <v>163</v>
      </c>
      <c r="D40" s="257">
        <f>D41+D42</f>
        <v>97</v>
      </c>
      <c r="E40" s="258"/>
      <c r="F40" s="258"/>
      <c r="G40" s="264">
        <f t="shared" si="7"/>
        <v>453.655</v>
      </c>
      <c r="H40" s="265">
        <f t="shared" si="9"/>
        <v>1.63</v>
      </c>
      <c r="I40" s="265">
        <f t="shared" si="10"/>
        <v>0.489</v>
      </c>
      <c r="J40" s="258"/>
      <c r="K40" s="258">
        <f>K41+K42</f>
        <v>377.5</v>
      </c>
      <c r="L40" s="258">
        <f>L41+L42</f>
        <v>74.036</v>
      </c>
      <c r="M40" s="258">
        <f t="shared" si="6"/>
        <v>0.652</v>
      </c>
      <c r="N40" s="267"/>
    </row>
    <row r="41" s="153" customFormat="1" ht="17.1" customHeight="1" spans="1:16">
      <c r="A41" s="281"/>
      <c r="B41" s="172" t="s">
        <v>366</v>
      </c>
      <c r="C41" s="257">
        <v>151</v>
      </c>
      <c r="D41" s="257">
        <v>97</v>
      </c>
      <c r="E41" s="258"/>
      <c r="F41" s="258"/>
      <c r="G41" s="264">
        <f t="shared" ref="G41:G53" si="11">H41+I41+K41+L41</f>
        <v>423.499</v>
      </c>
      <c r="H41" s="265">
        <f t="shared" si="9"/>
        <v>1.51</v>
      </c>
      <c r="I41" s="265">
        <f t="shared" si="10"/>
        <v>0.453</v>
      </c>
      <c r="J41" s="258"/>
      <c r="K41" s="258">
        <v>347.5</v>
      </c>
      <c r="L41" s="258">
        <v>74.036</v>
      </c>
      <c r="M41" s="258">
        <f t="shared" ref="M41:M53" si="12">C41*0.004</f>
        <v>0.604</v>
      </c>
      <c r="N41" s="282" t="s">
        <v>367</v>
      </c>
      <c r="O41" s="282"/>
      <c r="P41" s="283"/>
    </row>
    <row r="42" s="153" customFormat="1" ht="17.1" customHeight="1" spans="1:16">
      <c r="A42" s="281"/>
      <c r="B42" s="172" t="s">
        <v>368</v>
      </c>
      <c r="C42" s="257">
        <v>12</v>
      </c>
      <c r="D42" s="257"/>
      <c r="E42" s="258"/>
      <c r="F42" s="258"/>
      <c r="G42" s="264">
        <f t="shared" si="11"/>
        <v>30.156</v>
      </c>
      <c r="H42" s="265">
        <f t="shared" si="9"/>
        <v>0.12</v>
      </c>
      <c r="I42" s="265">
        <f t="shared" si="10"/>
        <v>0.036</v>
      </c>
      <c r="J42" s="258">
        <v>2.5</v>
      </c>
      <c r="K42" s="258">
        <f>J42*C42</f>
        <v>30</v>
      </c>
      <c r="L42" s="258"/>
      <c r="M42" s="258">
        <f t="shared" si="12"/>
        <v>0.048</v>
      </c>
      <c r="N42" s="282"/>
      <c r="O42" s="282"/>
      <c r="P42" s="283"/>
    </row>
    <row r="43" s="153" customFormat="1" ht="17.1" customHeight="1" spans="1:16">
      <c r="A43" s="281"/>
      <c r="B43" s="172" t="s">
        <v>211</v>
      </c>
      <c r="C43" s="257">
        <f>C44</f>
        <v>3</v>
      </c>
      <c r="D43" s="257">
        <f>D44</f>
        <v>1</v>
      </c>
      <c r="E43" s="258">
        <f>E44</f>
        <v>0</v>
      </c>
      <c r="F43" s="258">
        <f>F44</f>
        <v>0</v>
      </c>
      <c r="G43" s="264">
        <f t="shared" si="11"/>
        <v>8.319</v>
      </c>
      <c r="H43" s="265">
        <f t="shared" ref="H43:H55" si="13">C43*100/10000</f>
        <v>0.03</v>
      </c>
      <c r="I43" s="265">
        <f t="shared" ref="I43:I55" si="14">C43*30/10000</f>
        <v>0.009</v>
      </c>
      <c r="J43" s="258"/>
      <c r="K43" s="258">
        <f>K44</f>
        <v>6</v>
      </c>
      <c r="L43" s="258">
        <f>L44</f>
        <v>2.28</v>
      </c>
      <c r="M43" s="258">
        <f t="shared" si="12"/>
        <v>0.012</v>
      </c>
      <c r="N43" s="263"/>
      <c r="P43" s="284"/>
    </row>
    <row r="44" s="153" customFormat="1" ht="17.1" customHeight="1" spans="1:16">
      <c r="A44" s="281"/>
      <c r="B44" s="172" t="s">
        <v>369</v>
      </c>
      <c r="C44" s="257">
        <v>3</v>
      </c>
      <c r="D44" s="257">
        <v>1</v>
      </c>
      <c r="E44" s="258"/>
      <c r="F44" s="258"/>
      <c r="G44" s="264">
        <f t="shared" si="11"/>
        <v>8.319</v>
      </c>
      <c r="H44" s="265">
        <f t="shared" si="13"/>
        <v>0.03</v>
      </c>
      <c r="I44" s="265">
        <f t="shared" si="14"/>
        <v>0.009</v>
      </c>
      <c r="J44" s="258">
        <v>2</v>
      </c>
      <c r="K44" s="258">
        <f>J44*C44</f>
        <v>6</v>
      </c>
      <c r="L44" s="258">
        <v>2.28</v>
      </c>
      <c r="M44" s="258">
        <f t="shared" si="12"/>
        <v>0.012</v>
      </c>
      <c r="N44" s="263"/>
      <c r="P44" s="284"/>
    </row>
    <row r="45" s="153" customFormat="1" ht="17.1" customHeight="1" spans="1:16">
      <c r="A45" s="281"/>
      <c r="B45" s="172" t="s">
        <v>214</v>
      </c>
      <c r="C45" s="257">
        <f>SUM(C46:C58)</f>
        <v>226</v>
      </c>
      <c r="D45" s="257">
        <f>SUM(D46:D58)</f>
        <v>127</v>
      </c>
      <c r="E45" s="258"/>
      <c r="F45" s="258">
        <f>SUM(F46:F58)</f>
        <v>10</v>
      </c>
      <c r="G45" s="264">
        <f t="shared" si="11"/>
        <v>421.501</v>
      </c>
      <c r="H45" s="265">
        <f t="shared" si="13"/>
        <v>2.26</v>
      </c>
      <c r="I45" s="265">
        <f t="shared" si="14"/>
        <v>0.678</v>
      </c>
      <c r="J45" s="258"/>
      <c r="K45" s="258">
        <f>SUM(K46:K58)</f>
        <v>305.5</v>
      </c>
      <c r="L45" s="258">
        <f>SUM(L46:L58)</f>
        <v>113.063</v>
      </c>
      <c r="M45" s="258">
        <f t="shared" si="12"/>
        <v>0.904</v>
      </c>
      <c r="N45" s="263"/>
      <c r="P45" s="284"/>
    </row>
    <row r="46" s="153" customFormat="1" ht="17.1" customHeight="1" spans="1:16">
      <c r="A46" s="281">
        <v>27</v>
      </c>
      <c r="B46" s="182" t="s">
        <v>215</v>
      </c>
      <c r="C46" s="275">
        <v>51</v>
      </c>
      <c r="D46" s="257">
        <v>17</v>
      </c>
      <c r="E46" s="258"/>
      <c r="F46" s="258">
        <v>5</v>
      </c>
      <c r="G46" s="264">
        <f t="shared" si="11"/>
        <v>80.863</v>
      </c>
      <c r="H46" s="265">
        <f t="shared" si="13"/>
        <v>0.51</v>
      </c>
      <c r="I46" s="265">
        <f t="shared" si="14"/>
        <v>0.153</v>
      </c>
      <c r="J46" s="258">
        <v>1</v>
      </c>
      <c r="K46" s="258">
        <f>J46*C46</f>
        <v>51</v>
      </c>
      <c r="L46" s="258">
        <v>29.2</v>
      </c>
      <c r="M46" s="258">
        <f t="shared" si="12"/>
        <v>0.204</v>
      </c>
      <c r="N46" s="270"/>
      <c r="O46" s="157"/>
      <c r="P46" s="284"/>
    </row>
    <row r="47" s="153" customFormat="1" ht="17.1" customHeight="1" spans="1:16">
      <c r="A47" s="281">
        <v>29</v>
      </c>
      <c r="B47" s="182" t="s">
        <v>216</v>
      </c>
      <c r="C47" s="275">
        <v>20</v>
      </c>
      <c r="D47" s="280">
        <v>7</v>
      </c>
      <c r="E47" s="258"/>
      <c r="F47" s="258"/>
      <c r="G47" s="264">
        <f t="shared" si="11"/>
        <v>28.218</v>
      </c>
      <c r="H47" s="265">
        <f t="shared" si="13"/>
        <v>0.2</v>
      </c>
      <c r="I47" s="265">
        <f t="shared" si="14"/>
        <v>0.06</v>
      </c>
      <c r="J47" s="258">
        <v>1</v>
      </c>
      <c r="K47" s="258">
        <f>J47*C47</f>
        <v>20</v>
      </c>
      <c r="L47" s="258">
        <v>7.958</v>
      </c>
      <c r="M47" s="258">
        <f t="shared" si="12"/>
        <v>0.08</v>
      </c>
      <c r="N47" s="270"/>
      <c r="O47" s="157"/>
      <c r="P47" s="284"/>
    </row>
    <row r="48" s="153" customFormat="1" ht="17.1" customHeight="1" spans="1:16">
      <c r="A48" s="281">
        <v>30</v>
      </c>
      <c r="B48" s="182" t="s">
        <v>217</v>
      </c>
      <c r="C48" s="275">
        <v>44</v>
      </c>
      <c r="D48" s="280">
        <v>10</v>
      </c>
      <c r="E48" s="258"/>
      <c r="F48" s="258">
        <v>2</v>
      </c>
      <c r="G48" s="264">
        <f t="shared" si="11"/>
        <v>64.311</v>
      </c>
      <c r="H48" s="265">
        <f t="shared" si="13"/>
        <v>0.44</v>
      </c>
      <c r="I48" s="265">
        <f t="shared" si="14"/>
        <v>0.132</v>
      </c>
      <c r="J48" s="258">
        <v>1</v>
      </c>
      <c r="K48" s="258">
        <f>J48*C48</f>
        <v>44</v>
      </c>
      <c r="L48" s="258">
        <v>19.739</v>
      </c>
      <c r="M48" s="258">
        <f t="shared" si="12"/>
        <v>0.176</v>
      </c>
      <c r="N48" s="285"/>
      <c r="O48" s="157"/>
      <c r="P48" s="284"/>
    </row>
    <row r="49" s="153" customFormat="1" ht="17.1" customHeight="1" spans="1:16">
      <c r="A49" s="281">
        <v>31</v>
      </c>
      <c r="B49" s="182" t="s">
        <v>218</v>
      </c>
      <c r="C49" s="275">
        <v>16</v>
      </c>
      <c r="D49" s="257">
        <v>4</v>
      </c>
      <c r="E49" s="258"/>
      <c r="F49" s="258">
        <v>1</v>
      </c>
      <c r="G49" s="264">
        <f t="shared" si="11"/>
        <v>22.824</v>
      </c>
      <c r="H49" s="265">
        <f t="shared" si="13"/>
        <v>0.16</v>
      </c>
      <c r="I49" s="265">
        <f t="shared" si="14"/>
        <v>0.048</v>
      </c>
      <c r="J49" s="258">
        <v>1</v>
      </c>
      <c r="K49" s="258">
        <f>J49*C49</f>
        <v>16</v>
      </c>
      <c r="L49" s="258">
        <v>6.616</v>
      </c>
      <c r="M49" s="258">
        <f t="shared" si="12"/>
        <v>0.064</v>
      </c>
      <c r="N49" s="270"/>
      <c r="O49" s="157"/>
      <c r="P49" s="284"/>
    </row>
    <row r="50" s="153" customFormat="1" ht="17.1" customHeight="1" spans="1:16">
      <c r="A50" s="281">
        <v>32</v>
      </c>
      <c r="B50" s="182" t="s">
        <v>219</v>
      </c>
      <c r="C50" s="275">
        <v>15</v>
      </c>
      <c r="D50" s="257">
        <v>4</v>
      </c>
      <c r="E50" s="258"/>
      <c r="F50" s="258"/>
      <c r="G50" s="264">
        <f t="shared" si="11"/>
        <v>23.787</v>
      </c>
      <c r="H50" s="265">
        <f t="shared" si="13"/>
        <v>0.15</v>
      </c>
      <c r="I50" s="265">
        <f t="shared" si="14"/>
        <v>0.045</v>
      </c>
      <c r="J50" s="258"/>
      <c r="K50" s="258">
        <v>15</v>
      </c>
      <c r="L50" s="258">
        <v>8.592</v>
      </c>
      <c r="M50" s="258">
        <f t="shared" si="12"/>
        <v>0.06</v>
      </c>
      <c r="N50" s="270"/>
      <c r="O50" s="157"/>
      <c r="P50" s="284"/>
    </row>
    <row r="51" s="226" customFormat="1" ht="17.1" customHeight="1" spans="1:16">
      <c r="A51" s="286">
        <v>34</v>
      </c>
      <c r="B51" s="206" t="s">
        <v>220</v>
      </c>
      <c r="C51" s="275">
        <v>22</v>
      </c>
      <c r="D51" s="224">
        <v>13</v>
      </c>
      <c r="E51" s="265"/>
      <c r="F51" s="265">
        <v>2</v>
      </c>
      <c r="G51" s="264">
        <f t="shared" si="11"/>
        <v>70.418</v>
      </c>
      <c r="H51" s="265">
        <f t="shared" si="13"/>
        <v>0.22</v>
      </c>
      <c r="I51" s="265">
        <f t="shared" si="14"/>
        <v>0.066</v>
      </c>
      <c r="J51" s="265">
        <v>2.5</v>
      </c>
      <c r="K51" s="258">
        <f>J51*C51</f>
        <v>55</v>
      </c>
      <c r="L51" s="265">
        <v>15.132</v>
      </c>
      <c r="M51" s="258">
        <f t="shared" si="12"/>
        <v>0.088</v>
      </c>
      <c r="N51" s="285"/>
      <c r="O51" s="287"/>
      <c r="P51" s="288"/>
    </row>
    <row r="52" s="226" customFormat="1" ht="17.1" customHeight="1" spans="1:16">
      <c r="A52" s="286"/>
      <c r="B52" s="206" t="s">
        <v>221</v>
      </c>
      <c r="C52" s="275">
        <v>21</v>
      </c>
      <c r="D52" s="224">
        <v>1</v>
      </c>
      <c r="E52" s="265"/>
      <c r="F52" s="265"/>
      <c r="G52" s="264">
        <f t="shared" si="11"/>
        <v>66.441</v>
      </c>
      <c r="H52" s="265">
        <f t="shared" si="13"/>
        <v>0.21</v>
      </c>
      <c r="I52" s="265">
        <f t="shared" si="14"/>
        <v>0.063</v>
      </c>
      <c r="J52" s="265">
        <v>2.5</v>
      </c>
      <c r="K52" s="258">
        <f>J52*C52</f>
        <v>52.5</v>
      </c>
      <c r="L52" s="265">
        <v>13.668</v>
      </c>
      <c r="M52" s="258">
        <f t="shared" si="12"/>
        <v>0.084</v>
      </c>
      <c r="N52" s="289"/>
      <c r="P52" s="288"/>
    </row>
    <row r="53" s="226" customFormat="1" ht="17.1" customHeight="1" spans="1:16">
      <c r="A53" s="286"/>
      <c r="B53" s="206" t="s">
        <v>222</v>
      </c>
      <c r="C53" s="275">
        <v>12</v>
      </c>
      <c r="D53" s="224"/>
      <c r="E53" s="265"/>
      <c r="F53" s="265"/>
      <c r="G53" s="264">
        <f t="shared" si="11"/>
        <v>18.096</v>
      </c>
      <c r="H53" s="265">
        <f t="shared" si="13"/>
        <v>0.12</v>
      </c>
      <c r="I53" s="265">
        <f t="shared" si="14"/>
        <v>0.036</v>
      </c>
      <c r="J53" s="265"/>
      <c r="K53" s="258">
        <v>15</v>
      </c>
      <c r="L53" s="265">
        <v>2.94</v>
      </c>
      <c r="M53" s="258">
        <f t="shared" si="12"/>
        <v>0.048</v>
      </c>
      <c r="N53" s="289"/>
      <c r="P53" s="288"/>
    </row>
    <row r="54" s="153" customFormat="1" ht="17.1" customHeight="1" spans="1:16">
      <c r="A54" s="281">
        <v>13</v>
      </c>
      <c r="B54" s="182" t="s">
        <v>223</v>
      </c>
      <c r="C54" s="275">
        <v>5</v>
      </c>
      <c r="D54" s="280">
        <v>5</v>
      </c>
      <c r="E54" s="258"/>
      <c r="F54" s="258"/>
      <c r="G54" s="264">
        <f t="shared" ref="G54:G63" si="15">H54+I54+K54+L54</f>
        <v>13.173</v>
      </c>
      <c r="H54" s="265">
        <f t="shared" si="13"/>
        <v>0.05</v>
      </c>
      <c r="I54" s="265">
        <f t="shared" si="14"/>
        <v>0.015</v>
      </c>
      <c r="J54" s="258">
        <v>2</v>
      </c>
      <c r="K54" s="258">
        <f>J54*C54</f>
        <v>10</v>
      </c>
      <c r="L54" s="258">
        <v>3.108</v>
      </c>
      <c r="M54" s="258">
        <f t="shared" ref="M54:M55" si="16">C54*0.004</f>
        <v>0.02</v>
      </c>
      <c r="N54" s="263"/>
      <c r="P54" s="284"/>
    </row>
    <row r="55" s="153" customFormat="1" ht="17.1" customHeight="1" spans="1:16">
      <c r="A55" s="281">
        <v>55</v>
      </c>
      <c r="B55" s="182" t="s">
        <v>224</v>
      </c>
      <c r="C55" s="275">
        <v>14</v>
      </c>
      <c r="D55" s="257">
        <v>34</v>
      </c>
      <c r="E55" s="258"/>
      <c r="F55" s="258"/>
      <c r="G55" s="264">
        <f t="shared" si="15"/>
        <v>19.202</v>
      </c>
      <c r="H55" s="265">
        <f t="shared" si="13"/>
        <v>0.14</v>
      </c>
      <c r="I55" s="265">
        <f t="shared" si="14"/>
        <v>0.042</v>
      </c>
      <c r="J55" s="258"/>
      <c r="K55" s="258">
        <v>15</v>
      </c>
      <c r="L55" s="258">
        <v>4.02</v>
      </c>
      <c r="M55" s="258">
        <f t="shared" si="16"/>
        <v>0.056</v>
      </c>
      <c r="N55" s="263"/>
      <c r="P55" s="284"/>
    </row>
    <row r="56" s="153" customFormat="1" ht="17.1" customHeight="1" spans="1:16">
      <c r="A56" s="281"/>
      <c r="B56" s="182" t="s">
        <v>225</v>
      </c>
      <c r="C56" s="275"/>
      <c r="D56" s="257">
        <v>32</v>
      </c>
      <c r="E56" s="258"/>
      <c r="F56" s="258"/>
      <c r="G56" s="264">
        <f t="shared" si="15"/>
        <v>0</v>
      </c>
      <c r="H56" s="265"/>
      <c r="I56" s="265"/>
      <c r="J56" s="258"/>
      <c r="K56" s="258">
        <f>J56*C56</f>
        <v>0</v>
      </c>
      <c r="L56" s="258"/>
      <c r="M56" s="258"/>
      <c r="N56" s="263"/>
      <c r="P56" s="284"/>
    </row>
    <row r="57" s="153" customFormat="1" ht="17.1" customHeight="1" spans="1:16">
      <c r="A57" s="281"/>
      <c r="B57" s="182" t="s">
        <v>370</v>
      </c>
      <c r="C57" s="257">
        <v>3</v>
      </c>
      <c r="D57" s="257"/>
      <c r="E57" s="258"/>
      <c r="F57" s="258"/>
      <c r="G57" s="264">
        <f t="shared" si="15"/>
        <v>6.039</v>
      </c>
      <c r="H57" s="265">
        <f t="shared" ref="H57:H72" si="17">C57*100/10000</f>
        <v>0.03</v>
      </c>
      <c r="I57" s="265">
        <f t="shared" ref="I57:I67" si="18">C57*30/10000</f>
        <v>0.009</v>
      </c>
      <c r="J57" s="258">
        <v>2</v>
      </c>
      <c r="K57" s="258">
        <f>J57*C57</f>
        <v>6</v>
      </c>
      <c r="L57" s="258"/>
      <c r="M57" s="258">
        <f t="shared" ref="M57:M67" si="19">C57*0.004</f>
        <v>0.012</v>
      </c>
      <c r="N57" s="263"/>
      <c r="P57" s="284"/>
    </row>
    <row r="58" s="153" customFormat="1" ht="17.1" customHeight="1" spans="1:16">
      <c r="A58" s="281"/>
      <c r="B58" s="182" t="s">
        <v>227</v>
      </c>
      <c r="C58" s="257">
        <v>3</v>
      </c>
      <c r="D58" s="257"/>
      <c r="E58" s="258"/>
      <c r="F58" s="258"/>
      <c r="G58" s="264">
        <f t="shared" si="15"/>
        <v>8.129</v>
      </c>
      <c r="H58" s="265">
        <f t="shared" si="17"/>
        <v>0.03</v>
      </c>
      <c r="I58" s="265">
        <f t="shared" si="18"/>
        <v>0.009</v>
      </c>
      <c r="J58" s="258">
        <v>2</v>
      </c>
      <c r="K58" s="258">
        <f>J58*C58</f>
        <v>6</v>
      </c>
      <c r="L58" s="258">
        <v>2.09</v>
      </c>
      <c r="M58" s="258">
        <f t="shared" si="19"/>
        <v>0.012</v>
      </c>
      <c r="N58" s="263"/>
      <c r="P58" s="284"/>
    </row>
    <row r="59" s="153" customFormat="1" ht="17.1" customHeight="1" spans="1:16">
      <c r="A59" s="281"/>
      <c r="B59" s="172" t="s">
        <v>228</v>
      </c>
      <c r="C59" s="257">
        <v>6</v>
      </c>
      <c r="D59" s="257">
        <v>3</v>
      </c>
      <c r="E59" s="258"/>
      <c r="F59" s="258">
        <v>1</v>
      </c>
      <c r="G59" s="264">
        <f t="shared" si="15"/>
        <v>14.394</v>
      </c>
      <c r="H59" s="265">
        <f t="shared" si="17"/>
        <v>0.06</v>
      </c>
      <c r="I59" s="265">
        <f t="shared" si="18"/>
        <v>0.018</v>
      </c>
      <c r="J59" s="258">
        <v>1.5</v>
      </c>
      <c r="K59" s="258">
        <f>J59*C59</f>
        <v>9</v>
      </c>
      <c r="L59" s="258">
        <v>5.316</v>
      </c>
      <c r="M59" s="258">
        <f t="shared" si="19"/>
        <v>0.024</v>
      </c>
      <c r="N59" s="263"/>
      <c r="P59" s="284"/>
    </row>
    <row r="60" s="153" customFormat="1" ht="17.1" customHeight="1" spans="1:16">
      <c r="A60" s="281"/>
      <c r="B60" s="172" t="s">
        <v>229</v>
      </c>
      <c r="C60" s="290">
        <f>SUM(C61:C63)</f>
        <v>18</v>
      </c>
      <c r="D60" s="290">
        <f>SUM(D61:D63)</f>
        <v>9</v>
      </c>
      <c r="E60" s="99">
        <f>SUM(E61:E63)</f>
        <v>0</v>
      </c>
      <c r="F60" s="99">
        <f>SUM(F61:F63)</f>
        <v>0</v>
      </c>
      <c r="G60" s="264">
        <f t="shared" si="15"/>
        <v>38.904</v>
      </c>
      <c r="H60" s="265">
        <f t="shared" si="17"/>
        <v>0.18</v>
      </c>
      <c r="I60" s="265">
        <f t="shared" si="18"/>
        <v>0.054</v>
      </c>
      <c r="J60" s="99">
        <f>SUM(J61:J63)</f>
        <v>5</v>
      </c>
      <c r="K60" s="99">
        <f>SUM(K61:K63)</f>
        <v>28.5</v>
      </c>
      <c r="L60" s="99">
        <f>SUM(L61:L63)</f>
        <v>10.17</v>
      </c>
      <c r="M60" s="258">
        <f t="shared" si="19"/>
        <v>0.072</v>
      </c>
      <c r="N60" s="263"/>
      <c r="P60" s="284"/>
    </row>
    <row r="61" s="153" customFormat="1" ht="17.1" customHeight="1" spans="1:16">
      <c r="A61" s="281">
        <v>39</v>
      </c>
      <c r="B61" s="182" t="s">
        <v>230</v>
      </c>
      <c r="C61" s="257">
        <v>6</v>
      </c>
      <c r="D61" s="257">
        <v>2</v>
      </c>
      <c r="E61" s="258"/>
      <c r="F61" s="258"/>
      <c r="G61" s="264">
        <f t="shared" si="15"/>
        <v>12.678</v>
      </c>
      <c r="H61" s="265">
        <f t="shared" si="17"/>
        <v>0.06</v>
      </c>
      <c r="I61" s="265">
        <f t="shared" si="18"/>
        <v>0.018</v>
      </c>
      <c r="J61" s="258">
        <v>1.5</v>
      </c>
      <c r="K61" s="258">
        <f>J61*C61</f>
        <v>9</v>
      </c>
      <c r="L61" s="258">
        <v>3.6</v>
      </c>
      <c r="M61" s="258">
        <f t="shared" si="19"/>
        <v>0.024</v>
      </c>
      <c r="N61" s="263"/>
      <c r="P61" s="284"/>
    </row>
    <row r="62" s="153" customFormat="1" ht="17.1" customHeight="1" spans="1:16">
      <c r="A62" s="281"/>
      <c r="B62" s="182" t="s">
        <v>231</v>
      </c>
      <c r="C62" s="257">
        <v>9</v>
      </c>
      <c r="D62" s="280">
        <v>7</v>
      </c>
      <c r="E62" s="258"/>
      <c r="F62" s="258"/>
      <c r="G62" s="264">
        <f t="shared" si="15"/>
        <v>18.777</v>
      </c>
      <c r="H62" s="265">
        <f t="shared" si="17"/>
        <v>0.09</v>
      </c>
      <c r="I62" s="265">
        <f t="shared" si="18"/>
        <v>0.027</v>
      </c>
      <c r="J62" s="258">
        <v>1.5</v>
      </c>
      <c r="K62" s="258">
        <f>J62*C62</f>
        <v>13.5</v>
      </c>
      <c r="L62" s="258">
        <v>5.16</v>
      </c>
      <c r="M62" s="258">
        <f t="shared" si="19"/>
        <v>0.036</v>
      </c>
      <c r="N62" s="263"/>
      <c r="P62" s="284"/>
    </row>
    <row r="63" s="153" customFormat="1" ht="17.1" customHeight="1" spans="1:16">
      <c r="A63" s="281">
        <v>40</v>
      </c>
      <c r="B63" s="182" t="s">
        <v>232</v>
      </c>
      <c r="C63" s="257">
        <v>3</v>
      </c>
      <c r="D63" s="257"/>
      <c r="E63" s="258"/>
      <c r="F63" s="258"/>
      <c r="G63" s="264">
        <f t="shared" si="15"/>
        <v>7.449</v>
      </c>
      <c r="H63" s="265">
        <f t="shared" si="17"/>
        <v>0.03</v>
      </c>
      <c r="I63" s="265">
        <f t="shared" si="18"/>
        <v>0.009</v>
      </c>
      <c r="J63" s="258">
        <v>2</v>
      </c>
      <c r="K63" s="258">
        <f>J63*C63</f>
        <v>6</v>
      </c>
      <c r="L63" s="258">
        <v>1.41</v>
      </c>
      <c r="M63" s="258">
        <f t="shared" si="19"/>
        <v>0.012</v>
      </c>
      <c r="N63" s="263"/>
      <c r="P63" s="284"/>
    </row>
    <row r="64" s="153" customFormat="1" ht="17.1" customHeight="1" spans="1:16">
      <c r="A64" s="281"/>
      <c r="B64" s="169" t="s">
        <v>233</v>
      </c>
      <c r="C64" s="257">
        <f>SUM(C65,C68:C71)</f>
        <v>543</v>
      </c>
      <c r="D64" s="257">
        <f>D65+D68+D69+D70+D71</f>
        <v>226</v>
      </c>
      <c r="E64" s="258">
        <f>E65+E68+E69+E70+E71</f>
        <v>0</v>
      </c>
      <c r="F64" s="258">
        <f>F65+F68+F69+F70+F71</f>
        <v>1</v>
      </c>
      <c r="G64" s="264">
        <f t="shared" ref="G64:G71" si="20">H64+I64+K64+L64</f>
        <v>1319.877</v>
      </c>
      <c r="H64" s="265">
        <f t="shared" si="17"/>
        <v>5.43</v>
      </c>
      <c r="I64" s="265">
        <f t="shared" si="18"/>
        <v>1.629</v>
      </c>
      <c r="J64" s="258"/>
      <c r="K64" s="258">
        <f>K65+K68+K69+K70+K71</f>
        <v>1007.9</v>
      </c>
      <c r="L64" s="258">
        <f>L65+L68+L69+L70+L71</f>
        <v>304.918</v>
      </c>
      <c r="M64" s="258">
        <f t="shared" si="19"/>
        <v>2.172</v>
      </c>
      <c r="N64" s="263"/>
      <c r="P64" s="284"/>
    </row>
    <row r="65" s="153" customFormat="1" ht="17.1" customHeight="1" spans="1:16">
      <c r="A65" s="281"/>
      <c r="B65" s="172" t="s">
        <v>234</v>
      </c>
      <c r="C65" s="257">
        <f>SUM(C66:C67)</f>
        <v>331</v>
      </c>
      <c r="D65" s="257">
        <f>SUM(D66:D67)</f>
        <v>133</v>
      </c>
      <c r="E65" s="258"/>
      <c r="F65" s="258">
        <f>SUM(F66:F67)</f>
        <v>1</v>
      </c>
      <c r="G65" s="264">
        <f t="shared" si="20"/>
        <v>1093.099</v>
      </c>
      <c r="H65" s="265">
        <f t="shared" si="17"/>
        <v>3.31</v>
      </c>
      <c r="I65" s="265">
        <f t="shared" si="18"/>
        <v>0.993</v>
      </c>
      <c r="J65" s="258"/>
      <c r="K65" s="258">
        <f>SUM(K66:K67)</f>
        <v>827.5</v>
      </c>
      <c r="L65" s="258">
        <f>SUM(L66:L67)</f>
        <v>261.296</v>
      </c>
      <c r="M65" s="258">
        <f t="shared" si="19"/>
        <v>1.324</v>
      </c>
      <c r="N65" s="263"/>
      <c r="P65" s="284"/>
    </row>
    <row r="66" s="153" customFormat="1" ht="17.1" customHeight="1" spans="1:16">
      <c r="A66" s="281">
        <v>41</v>
      </c>
      <c r="B66" s="182" t="s">
        <v>236</v>
      </c>
      <c r="C66" s="257">
        <v>295</v>
      </c>
      <c r="D66" s="257">
        <v>119</v>
      </c>
      <c r="E66" s="258"/>
      <c r="F66" s="258"/>
      <c r="G66" s="264">
        <f t="shared" si="20"/>
        <v>972.709</v>
      </c>
      <c r="H66" s="265">
        <f t="shared" si="17"/>
        <v>2.95</v>
      </c>
      <c r="I66" s="265">
        <f t="shared" si="18"/>
        <v>0.885</v>
      </c>
      <c r="J66" s="258">
        <v>2.5</v>
      </c>
      <c r="K66" s="258">
        <f>J66*C66</f>
        <v>737.5</v>
      </c>
      <c r="L66" s="258">
        <v>231.374</v>
      </c>
      <c r="M66" s="258">
        <f t="shared" si="19"/>
        <v>1.18</v>
      </c>
      <c r="N66" s="270"/>
      <c r="P66" s="284"/>
    </row>
    <row r="67" s="153" customFormat="1" ht="17.1" customHeight="1" spans="1:16">
      <c r="A67" s="281">
        <v>46</v>
      </c>
      <c r="B67" s="182" t="s">
        <v>237</v>
      </c>
      <c r="C67" s="257">
        <v>36</v>
      </c>
      <c r="D67" s="257">
        <v>14</v>
      </c>
      <c r="E67" s="258"/>
      <c r="F67" s="258">
        <v>1</v>
      </c>
      <c r="G67" s="264">
        <f t="shared" si="20"/>
        <v>120.39</v>
      </c>
      <c r="H67" s="265">
        <f t="shared" si="17"/>
        <v>0.36</v>
      </c>
      <c r="I67" s="265">
        <f t="shared" si="18"/>
        <v>0.108</v>
      </c>
      <c r="J67" s="258">
        <v>2.5</v>
      </c>
      <c r="K67" s="258">
        <f>J67*C67</f>
        <v>90</v>
      </c>
      <c r="L67" s="258">
        <v>29.922</v>
      </c>
      <c r="M67" s="258">
        <f t="shared" si="19"/>
        <v>0.144</v>
      </c>
      <c r="N67" s="270"/>
      <c r="P67" s="284"/>
    </row>
    <row r="68" s="153" customFormat="1" ht="17.1" customHeight="1" spans="1:16">
      <c r="A68" s="281"/>
      <c r="B68" s="187" t="s">
        <v>371</v>
      </c>
      <c r="C68" s="280">
        <v>44</v>
      </c>
      <c r="D68" s="280">
        <v>26</v>
      </c>
      <c r="E68" s="258"/>
      <c r="F68" s="258"/>
      <c r="G68" s="264">
        <f t="shared" si="20"/>
        <v>0</v>
      </c>
      <c r="H68" s="265"/>
      <c r="I68" s="265"/>
      <c r="J68" s="258"/>
      <c r="K68" s="258"/>
      <c r="L68" s="258"/>
      <c r="M68" s="258"/>
      <c r="N68" s="291"/>
      <c r="P68" s="284"/>
    </row>
    <row r="69" s="153" customFormat="1" ht="17.1" customHeight="1" spans="1:16">
      <c r="A69" s="281" t="s">
        <v>372</v>
      </c>
      <c r="B69" s="187" t="s">
        <v>373</v>
      </c>
      <c r="C69" s="280">
        <v>86</v>
      </c>
      <c r="D69" s="280">
        <v>44</v>
      </c>
      <c r="E69" s="258"/>
      <c r="F69" s="258"/>
      <c r="G69" s="264">
        <f t="shared" si="20"/>
        <v>0</v>
      </c>
      <c r="H69" s="265"/>
      <c r="I69" s="265"/>
      <c r="J69" s="258"/>
      <c r="K69" s="258"/>
      <c r="L69" s="258"/>
      <c r="M69" s="258"/>
      <c r="N69" s="291"/>
      <c r="P69" s="284"/>
    </row>
    <row r="70" s="153" customFormat="1" ht="17.1" customHeight="1" spans="1:16">
      <c r="A70" s="281"/>
      <c r="B70" s="172" t="s">
        <v>240</v>
      </c>
      <c r="C70" s="257">
        <v>77</v>
      </c>
      <c r="D70" s="280">
        <v>23</v>
      </c>
      <c r="E70" s="258"/>
      <c r="F70" s="258"/>
      <c r="G70" s="264">
        <f t="shared" si="20"/>
        <v>214.023</v>
      </c>
      <c r="H70" s="265">
        <f t="shared" si="17"/>
        <v>0.77</v>
      </c>
      <c r="I70" s="265">
        <f t="shared" ref="I70:I97" si="21">C70*30/10000</f>
        <v>0.231</v>
      </c>
      <c r="J70" s="258">
        <v>2.2</v>
      </c>
      <c r="K70" s="258">
        <f>J70*C70</f>
        <v>169.4</v>
      </c>
      <c r="L70" s="258">
        <v>43.622</v>
      </c>
      <c r="M70" s="258">
        <f t="shared" ref="M70:M114" si="22">C70*0.004</f>
        <v>0.308</v>
      </c>
      <c r="N70" s="157"/>
      <c r="P70" s="284"/>
    </row>
    <row r="71" s="153" customFormat="1" ht="17.1" customHeight="1" spans="1:16">
      <c r="A71" s="281"/>
      <c r="B71" s="172" t="s">
        <v>241</v>
      </c>
      <c r="C71" s="257">
        <v>5</v>
      </c>
      <c r="D71" s="257"/>
      <c r="E71" s="258"/>
      <c r="F71" s="258"/>
      <c r="G71" s="264">
        <f t="shared" si="20"/>
        <v>11.065</v>
      </c>
      <c r="H71" s="265">
        <f t="shared" si="17"/>
        <v>0.05</v>
      </c>
      <c r="I71" s="265">
        <f t="shared" si="21"/>
        <v>0.015</v>
      </c>
      <c r="J71" s="258">
        <v>2.2</v>
      </c>
      <c r="K71" s="258">
        <f>J71*C71</f>
        <v>11</v>
      </c>
      <c r="L71" s="258"/>
      <c r="M71" s="258">
        <f t="shared" si="22"/>
        <v>0.02</v>
      </c>
      <c r="N71" s="157"/>
      <c r="P71" s="284"/>
    </row>
    <row r="72" s="153" customFormat="1" ht="17.1" customHeight="1" spans="1:16">
      <c r="A72" s="281"/>
      <c r="B72" s="169" t="s">
        <v>242</v>
      </c>
      <c r="C72" s="257">
        <f>SUM(C73:C74,C81:C83)</f>
        <v>4574</v>
      </c>
      <c r="D72" s="257">
        <f>SUM(D73:D74,D81:D83)</f>
        <v>2666</v>
      </c>
      <c r="E72" s="258">
        <f>SUM(E73:E74,E81:E83)</f>
        <v>0</v>
      </c>
      <c r="F72" s="258">
        <f>SUM(F73:F74,F81:F83)</f>
        <v>1</v>
      </c>
      <c r="G72" s="264">
        <f t="shared" ref="G72:G103" si="23">H72+I72+K72+L72</f>
        <v>191.35</v>
      </c>
      <c r="H72" s="265">
        <f t="shared" si="17"/>
        <v>45.74</v>
      </c>
      <c r="I72" s="265">
        <f t="shared" si="21"/>
        <v>13.722</v>
      </c>
      <c r="J72" s="258">
        <f>SUM(J73:J74,J81:J83)</f>
        <v>2</v>
      </c>
      <c r="K72" s="258">
        <f>SUM(K73:K74,K81:K83)</f>
        <v>119</v>
      </c>
      <c r="L72" s="258">
        <f>SUM(L73:L74,L81:L83)</f>
        <v>12.888</v>
      </c>
      <c r="M72" s="258">
        <f t="shared" si="22"/>
        <v>18.296</v>
      </c>
      <c r="N72" s="263"/>
      <c r="P72" s="284"/>
    </row>
    <row r="73" s="153" customFormat="1" ht="17.1" customHeight="1" spans="1:16">
      <c r="A73" s="281"/>
      <c r="B73" s="172" t="s">
        <v>243</v>
      </c>
      <c r="C73" s="257">
        <v>75</v>
      </c>
      <c r="D73" s="257">
        <v>55</v>
      </c>
      <c r="E73" s="258"/>
      <c r="F73" s="258"/>
      <c r="G73" s="264">
        <f t="shared" si="23"/>
        <v>85.323</v>
      </c>
      <c r="H73" s="265">
        <f t="shared" ref="H73:H88" si="24">C73*100/10000</f>
        <v>0.75</v>
      </c>
      <c r="I73" s="265">
        <f t="shared" si="21"/>
        <v>0.225</v>
      </c>
      <c r="J73" s="258">
        <v>1</v>
      </c>
      <c r="K73" s="258">
        <f>J73*C73</f>
        <v>75</v>
      </c>
      <c r="L73" s="258">
        <v>9.348</v>
      </c>
      <c r="M73" s="258">
        <f t="shared" si="22"/>
        <v>0.3</v>
      </c>
      <c r="N73" s="270"/>
      <c r="P73" s="284"/>
    </row>
    <row r="74" s="153" customFormat="1" ht="17.1" customHeight="1" spans="1:16">
      <c r="A74" s="281"/>
      <c r="B74" s="172" t="s">
        <v>244</v>
      </c>
      <c r="C74" s="257">
        <f>SUM(C75:C80)</f>
        <v>3810</v>
      </c>
      <c r="D74" s="257">
        <f>SUM(D75:D80)</f>
        <v>2405</v>
      </c>
      <c r="E74" s="258">
        <f>SUM(E75:E80)</f>
        <v>0</v>
      </c>
      <c r="F74" s="258">
        <f>SUM(F75:F80)</f>
        <v>0</v>
      </c>
      <c r="G74" s="264">
        <f t="shared" si="23"/>
        <v>67.53</v>
      </c>
      <c r="H74" s="265">
        <f t="shared" si="24"/>
        <v>38.1</v>
      </c>
      <c r="I74" s="265">
        <f t="shared" si="21"/>
        <v>11.43</v>
      </c>
      <c r="J74" s="258">
        <f>SUM(J75:J80)</f>
        <v>1</v>
      </c>
      <c r="K74" s="258">
        <f>SUM(K75:K80)</f>
        <v>18</v>
      </c>
      <c r="L74" s="258"/>
      <c r="M74" s="258">
        <f t="shared" si="22"/>
        <v>15.24</v>
      </c>
      <c r="N74" s="263"/>
      <c r="P74" s="284"/>
    </row>
    <row r="75" s="153" customFormat="1" ht="17.1" customHeight="1" spans="1:16">
      <c r="A75" s="281">
        <v>107</v>
      </c>
      <c r="B75" s="182" t="s">
        <v>245</v>
      </c>
      <c r="C75" s="257">
        <v>44</v>
      </c>
      <c r="D75" s="257">
        <v>1</v>
      </c>
      <c r="E75" s="258"/>
      <c r="F75" s="258"/>
      <c r="G75" s="264">
        <f t="shared" si="23"/>
        <v>0.572</v>
      </c>
      <c r="H75" s="265">
        <f t="shared" si="24"/>
        <v>0.44</v>
      </c>
      <c r="I75" s="265">
        <f t="shared" si="21"/>
        <v>0.132</v>
      </c>
      <c r="J75" s="258"/>
      <c r="K75" s="258"/>
      <c r="L75" s="258"/>
      <c r="M75" s="258">
        <f t="shared" si="22"/>
        <v>0.176</v>
      </c>
      <c r="N75" s="263"/>
      <c r="P75" s="284"/>
    </row>
    <row r="76" s="153" customFormat="1" ht="17.1" customHeight="1" spans="1:16">
      <c r="A76" s="281"/>
      <c r="B76" s="182" t="s">
        <v>246</v>
      </c>
      <c r="C76" s="257">
        <v>2064</v>
      </c>
      <c r="D76" s="257">
        <v>1536</v>
      </c>
      <c r="E76" s="258"/>
      <c r="F76" s="258"/>
      <c r="G76" s="264">
        <f t="shared" si="23"/>
        <v>26.832</v>
      </c>
      <c r="H76" s="265">
        <f t="shared" si="24"/>
        <v>20.64</v>
      </c>
      <c r="I76" s="265">
        <f t="shared" si="21"/>
        <v>6.192</v>
      </c>
      <c r="J76" s="258"/>
      <c r="K76" s="258"/>
      <c r="L76" s="258"/>
      <c r="M76" s="258">
        <f t="shared" si="22"/>
        <v>8.256</v>
      </c>
      <c r="N76" s="263"/>
      <c r="P76" s="284"/>
    </row>
    <row r="77" s="153" customFormat="1" ht="17.1" customHeight="1" spans="1:16">
      <c r="A77" s="281"/>
      <c r="B77" s="182" t="s">
        <v>247</v>
      </c>
      <c r="C77" s="257">
        <v>1447</v>
      </c>
      <c r="D77" s="257">
        <v>856</v>
      </c>
      <c r="E77" s="258"/>
      <c r="F77" s="258"/>
      <c r="G77" s="264">
        <f t="shared" si="23"/>
        <v>18.811</v>
      </c>
      <c r="H77" s="265">
        <f t="shared" si="24"/>
        <v>14.47</v>
      </c>
      <c r="I77" s="265">
        <f t="shared" si="21"/>
        <v>4.341</v>
      </c>
      <c r="J77" s="258"/>
      <c r="K77" s="258"/>
      <c r="L77" s="258"/>
      <c r="M77" s="258">
        <f t="shared" si="22"/>
        <v>5.788</v>
      </c>
      <c r="N77" s="263"/>
      <c r="P77" s="284"/>
    </row>
    <row r="78" s="153" customFormat="1" ht="17.1" customHeight="1" spans="1:16">
      <c r="A78" s="281"/>
      <c r="B78" s="182" t="s">
        <v>248</v>
      </c>
      <c r="C78" s="257">
        <v>17</v>
      </c>
      <c r="D78" s="257">
        <v>3</v>
      </c>
      <c r="E78" s="258"/>
      <c r="F78" s="258"/>
      <c r="G78" s="264">
        <f t="shared" si="23"/>
        <v>0.221</v>
      </c>
      <c r="H78" s="265">
        <f t="shared" si="24"/>
        <v>0.17</v>
      </c>
      <c r="I78" s="265">
        <f t="shared" si="21"/>
        <v>0.051</v>
      </c>
      <c r="J78" s="258"/>
      <c r="K78" s="258"/>
      <c r="L78" s="258"/>
      <c r="M78" s="258">
        <f t="shared" si="22"/>
        <v>0.068</v>
      </c>
      <c r="N78" s="263"/>
      <c r="P78" s="284"/>
    </row>
    <row r="79" s="153" customFormat="1" ht="17.1" customHeight="1" spans="1:16">
      <c r="A79" s="281"/>
      <c r="B79" s="182" t="s">
        <v>249</v>
      </c>
      <c r="C79" s="257">
        <v>220</v>
      </c>
      <c r="D79" s="257"/>
      <c r="E79" s="258"/>
      <c r="F79" s="258"/>
      <c r="G79" s="264">
        <f t="shared" si="23"/>
        <v>2.86</v>
      </c>
      <c r="H79" s="265">
        <f t="shared" si="24"/>
        <v>2.2</v>
      </c>
      <c r="I79" s="265">
        <f t="shared" si="21"/>
        <v>0.66</v>
      </c>
      <c r="J79" s="258"/>
      <c r="K79" s="258"/>
      <c r="L79" s="258"/>
      <c r="M79" s="258">
        <f t="shared" si="22"/>
        <v>0.88</v>
      </c>
      <c r="N79" s="263"/>
      <c r="P79" s="284"/>
    </row>
    <row r="80" s="153" customFormat="1" ht="17.1" customHeight="1" spans="1:16">
      <c r="A80" s="281">
        <v>108</v>
      </c>
      <c r="B80" s="182" t="s">
        <v>250</v>
      </c>
      <c r="C80" s="257">
        <v>18</v>
      </c>
      <c r="D80" s="257">
        <v>9</v>
      </c>
      <c r="E80" s="258"/>
      <c r="F80" s="258"/>
      <c r="G80" s="264">
        <f t="shared" si="23"/>
        <v>18.234</v>
      </c>
      <c r="H80" s="265">
        <f t="shared" si="24"/>
        <v>0.18</v>
      </c>
      <c r="I80" s="265">
        <f t="shared" si="21"/>
        <v>0.054</v>
      </c>
      <c r="J80" s="258">
        <v>1</v>
      </c>
      <c r="K80" s="258">
        <f>J80*C80</f>
        <v>18</v>
      </c>
      <c r="L80" s="258"/>
      <c r="M80" s="258">
        <f t="shared" si="22"/>
        <v>0.072</v>
      </c>
      <c r="N80" s="263"/>
      <c r="P80" s="284"/>
    </row>
    <row r="81" s="153" customFormat="1" ht="17.1" customHeight="1" spans="1:16">
      <c r="A81" s="281"/>
      <c r="B81" s="187" t="s">
        <v>251</v>
      </c>
      <c r="C81" s="257">
        <v>509</v>
      </c>
      <c r="D81" s="257">
        <v>131</v>
      </c>
      <c r="E81" s="258"/>
      <c r="F81" s="258">
        <v>1</v>
      </c>
      <c r="G81" s="264">
        <f t="shared" si="23"/>
        <v>6.617</v>
      </c>
      <c r="H81" s="265">
        <f t="shared" si="24"/>
        <v>5.09</v>
      </c>
      <c r="I81" s="265">
        <f t="shared" si="21"/>
        <v>1.527</v>
      </c>
      <c r="J81" s="258"/>
      <c r="K81" s="258"/>
      <c r="L81" s="258"/>
      <c r="M81" s="258">
        <f t="shared" si="22"/>
        <v>2.036</v>
      </c>
      <c r="N81" s="263"/>
      <c r="P81" s="284"/>
    </row>
    <row r="82" s="153" customFormat="1" ht="17.1" customHeight="1" spans="1:16">
      <c r="A82" s="281"/>
      <c r="B82" s="172" t="s">
        <v>252</v>
      </c>
      <c r="C82" s="257">
        <v>113</v>
      </c>
      <c r="D82" s="257">
        <v>36</v>
      </c>
      <c r="E82" s="258"/>
      <c r="F82" s="258"/>
      <c r="G82" s="264">
        <f t="shared" si="23"/>
        <v>1.469</v>
      </c>
      <c r="H82" s="265">
        <f t="shared" si="24"/>
        <v>1.13</v>
      </c>
      <c r="I82" s="265">
        <f t="shared" si="21"/>
        <v>0.339</v>
      </c>
      <c r="J82" s="258"/>
      <c r="K82" s="258"/>
      <c r="L82" s="258"/>
      <c r="M82" s="258">
        <f t="shared" si="22"/>
        <v>0.452</v>
      </c>
      <c r="N82" s="263"/>
      <c r="P82" s="284"/>
    </row>
    <row r="83" s="153" customFormat="1" ht="17.1" customHeight="1" spans="1:16">
      <c r="A83" s="281">
        <v>106</v>
      </c>
      <c r="B83" s="172" t="s">
        <v>253</v>
      </c>
      <c r="C83" s="257">
        <f>SUM(C84:C85)</f>
        <v>67</v>
      </c>
      <c r="D83" s="257">
        <f>SUM(D84:D85)</f>
        <v>39</v>
      </c>
      <c r="E83" s="258">
        <f>SUM(E84:E85)</f>
        <v>0</v>
      </c>
      <c r="F83" s="258">
        <f>SUM(F84:F85)</f>
        <v>0</v>
      </c>
      <c r="G83" s="264">
        <f t="shared" si="23"/>
        <v>30.411</v>
      </c>
      <c r="H83" s="265">
        <f t="shared" si="24"/>
        <v>0.67</v>
      </c>
      <c r="I83" s="265">
        <f t="shared" si="21"/>
        <v>0.201</v>
      </c>
      <c r="J83" s="258"/>
      <c r="K83" s="258">
        <f>SUM(K84:K85)</f>
        <v>26</v>
      </c>
      <c r="L83" s="258">
        <f>SUM(L84:L85)</f>
        <v>3.54</v>
      </c>
      <c r="M83" s="258">
        <f t="shared" si="22"/>
        <v>0.268</v>
      </c>
      <c r="N83" s="263"/>
      <c r="P83" s="284"/>
    </row>
    <row r="84" s="153" customFormat="1" ht="17.1" customHeight="1" spans="1:16">
      <c r="A84" s="281"/>
      <c r="B84" s="182" t="s">
        <v>254</v>
      </c>
      <c r="C84" s="257">
        <v>26</v>
      </c>
      <c r="D84" s="257">
        <v>18</v>
      </c>
      <c r="E84" s="258"/>
      <c r="F84" s="258"/>
      <c r="G84" s="264">
        <f t="shared" si="23"/>
        <v>29.878</v>
      </c>
      <c r="H84" s="265">
        <f t="shared" si="24"/>
        <v>0.26</v>
      </c>
      <c r="I84" s="265">
        <f t="shared" si="21"/>
        <v>0.078</v>
      </c>
      <c r="J84" s="258">
        <v>1</v>
      </c>
      <c r="K84" s="258">
        <f>J84*C84</f>
        <v>26</v>
      </c>
      <c r="L84" s="258">
        <v>3.54</v>
      </c>
      <c r="M84" s="258">
        <f t="shared" si="22"/>
        <v>0.104</v>
      </c>
      <c r="N84" s="263"/>
      <c r="P84" s="284"/>
    </row>
    <row r="85" s="153" customFormat="1" ht="17.1" customHeight="1" spans="1:16">
      <c r="A85" s="281">
        <v>102</v>
      </c>
      <c r="B85" s="182" t="s">
        <v>255</v>
      </c>
      <c r="C85" s="257">
        <v>41</v>
      </c>
      <c r="D85" s="257">
        <v>21</v>
      </c>
      <c r="E85" s="258"/>
      <c r="F85" s="258"/>
      <c r="G85" s="264">
        <f t="shared" si="23"/>
        <v>0.533</v>
      </c>
      <c r="H85" s="265">
        <f t="shared" si="24"/>
        <v>0.41</v>
      </c>
      <c r="I85" s="265">
        <f t="shared" si="21"/>
        <v>0.123</v>
      </c>
      <c r="J85" s="258"/>
      <c r="K85" s="258"/>
      <c r="L85" s="258"/>
      <c r="M85" s="258">
        <f t="shared" si="22"/>
        <v>0.164</v>
      </c>
      <c r="N85" s="263"/>
      <c r="P85" s="284"/>
    </row>
    <row r="86" s="153" customFormat="1" ht="17.1" customHeight="1" spans="1:16">
      <c r="A86" s="281" t="s">
        <v>374</v>
      </c>
      <c r="B86" s="169" t="s">
        <v>257</v>
      </c>
      <c r="C86" s="257">
        <f>SUM(C87:C88)</f>
        <v>42</v>
      </c>
      <c r="D86" s="257">
        <f>SUM(D87:D88)</f>
        <v>38</v>
      </c>
      <c r="E86" s="258"/>
      <c r="F86" s="258">
        <f>SUM(F87:F88)</f>
        <v>1</v>
      </c>
      <c r="G86" s="264">
        <f t="shared" si="23"/>
        <v>68.746</v>
      </c>
      <c r="H86" s="265">
        <f t="shared" si="24"/>
        <v>0.42</v>
      </c>
      <c r="I86" s="265">
        <f t="shared" si="21"/>
        <v>0.126</v>
      </c>
      <c r="J86" s="258"/>
      <c r="K86" s="258">
        <f>SUM(K87:K88)</f>
        <v>46</v>
      </c>
      <c r="L86" s="258">
        <f>SUM(L87:L88)</f>
        <v>22.2</v>
      </c>
      <c r="M86" s="258">
        <f t="shared" si="22"/>
        <v>0.168</v>
      </c>
      <c r="N86" s="263"/>
      <c r="P86" s="284"/>
    </row>
    <row r="87" s="153" customFormat="1" ht="17.1" customHeight="1" spans="1:16">
      <c r="A87" s="281"/>
      <c r="B87" s="172" t="s">
        <v>375</v>
      </c>
      <c r="C87" s="257">
        <v>34</v>
      </c>
      <c r="D87" s="280">
        <v>30</v>
      </c>
      <c r="E87" s="258"/>
      <c r="F87" s="258">
        <v>1</v>
      </c>
      <c r="G87" s="264">
        <f t="shared" si="23"/>
        <v>51.086</v>
      </c>
      <c r="H87" s="265">
        <f t="shared" si="24"/>
        <v>0.34</v>
      </c>
      <c r="I87" s="265">
        <f t="shared" si="21"/>
        <v>0.102</v>
      </c>
      <c r="J87" s="258">
        <v>1</v>
      </c>
      <c r="K87" s="258">
        <f>J87*C87</f>
        <v>34</v>
      </c>
      <c r="L87" s="258">
        <v>16.644</v>
      </c>
      <c r="M87" s="258">
        <f t="shared" si="22"/>
        <v>0.136</v>
      </c>
      <c r="N87" s="263"/>
      <c r="P87" s="284"/>
    </row>
    <row r="88" s="153" customFormat="1" ht="17.1" customHeight="1" spans="1:16">
      <c r="A88" s="281">
        <v>109</v>
      </c>
      <c r="B88" s="172" t="s">
        <v>376</v>
      </c>
      <c r="C88" s="257">
        <v>8</v>
      </c>
      <c r="D88" s="280">
        <v>8</v>
      </c>
      <c r="E88" s="258"/>
      <c r="F88" s="258"/>
      <c r="G88" s="264">
        <f t="shared" si="23"/>
        <v>17.66</v>
      </c>
      <c r="H88" s="265">
        <f t="shared" si="24"/>
        <v>0.08</v>
      </c>
      <c r="I88" s="265">
        <f t="shared" si="21"/>
        <v>0.024</v>
      </c>
      <c r="J88" s="258">
        <v>1.5</v>
      </c>
      <c r="K88" s="258">
        <f>J88*C88</f>
        <v>12</v>
      </c>
      <c r="L88" s="258">
        <v>5.556</v>
      </c>
      <c r="M88" s="258">
        <f t="shared" si="22"/>
        <v>0.032</v>
      </c>
      <c r="N88" s="267"/>
      <c r="P88" s="284"/>
    </row>
    <row r="89" s="153" customFormat="1" ht="17.1" customHeight="1" spans="1:16">
      <c r="A89" s="281">
        <v>110</v>
      </c>
      <c r="B89" s="169" t="s">
        <v>260</v>
      </c>
      <c r="C89" s="257">
        <f>SUM(C90:C98)</f>
        <v>188</v>
      </c>
      <c r="D89" s="257">
        <f>SUM(D90:D98)</f>
        <v>149</v>
      </c>
      <c r="E89" s="258">
        <f>SUM(E90:E98)</f>
        <v>10</v>
      </c>
      <c r="F89" s="258">
        <f>SUM(F90:F96)</f>
        <v>0</v>
      </c>
      <c r="G89" s="264">
        <f t="shared" si="23"/>
        <v>225.312</v>
      </c>
      <c r="H89" s="265">
        <f t="shared" ref="H89:H97" si="25">C89*100/10000</f>
        <v>1.88</v>
      </c>
      <c r="I89" s="265">
        <f t="shared" si="21"/>
        <v>0.564</v>
      </c>
      <c r="J89" s="258"/>
      <c r="K89" s="258">
        <f>SUM(K90:K98)</f>
        <v>202.5</v>
      </c>
      <c r="L89" s="258">
        <f>SUM(L90:L96)</f>
        <v>20.368</v>
      </c>
      <c r="M89" s="258">
        <f t="shared" si="22"/>
        <v>0.752</v>
      </c>
      <c r="N89" s="263"/>
      <c r="P89" s="284"/>
    </row>
    <row r="90" s="153" customFormat="1" ht="17.1" customHeight="1" spans="1:16">
      <c r="A90" s="281"/>
      <c r="B90" s="172" t="s">
        <v>261</v>
      </c>
      <c r="C90" s="275">
        <v>73</v>
      </c>
      <c r="D90" s="257">
        <v>36</v>
      </c>
      <c r="E90" s="258"/>
      <c r="F90" s="258"/>
      <c r="G90" s="264">
        <f t="shared" si="23"/>
        <v>86.277</v>
      </c>
      <c r="H90" s="265">
        <f t="shared" si="25"/>
        <v>0.73</v>
      </c>
      <c r="I90" s="265">
        <f t="shared" si="21"/>
        <v>0.219</v>
      </c>
      <c r="J90" s="258">
        <v>1</v>
      </c>
      <c r="K90" s="258">
        <f>J90*C90</f>
        <v>73</v>
      </c>
      <c r="L90" s="258">
        <v>12.328</v>
      </c>
      <c r="M90" s="258">
        <f t="shared" si="22"/>
        <v>0.292</v>
      </c>
      <c r="N90" s="263"/>
      <c r="P90" s="284"/>
    </row>
    <row r="91" s="153" customFormat="1" ht="17.1" customHeight="1" spans="1:16">
      <c r="A91" s="281"/>
      <c r="B91" s="172" t="s">
        <v>377</v>
      </c>
      <c r="C91" s="275">
        <v>7</v>
      </c>
      <c r="D91" s="257"/>
      <c r="E91" s="258"/>
      <c r="F91" s="258"/>
      <c r="G91" s="264">
        <f t="shared" si="23"/>
        <v>10.591</v>
      </c>
      <c r="H91" s="265">
        <f t="shared" si="25"/>
        <v>0.07</v>
      </c>
      <c r="I91" s="265">
        <f t="shared" si="21"/>
        <v>0.021</v>
      </c>
      <c r="J91" s="258">
        <v>1.5</v>
      </c>
      <c r="K91" s="258">
        <f>J91*C91</f>
        <v>10.5</v>
      </c>
      <c r="L91" s="258"/>
      <c r="M91" s="258">
        <f t="shared" si="22"/>
        <v>0.028</v>
      </c>
      <c r="N91" s="263"/>
      <c r="P91" s="284"/>
    </row>
    <row r="92" s="153" customFormat="1" ht="17.1" customHeight="1" spans="1:16">
      <c r="A92" s="281"/>
      <c r="B92" s="172" t="s">
        <v>266</v>
      </c>
      <c r="C92" s="275">
        <v>6</v>
      </c>
      <c r="D92" s="257"/>
      <c r="E92" s="258"/>
      <c r="F92" s="258"/>
      <c r="G92" s="264">
        <f t="shared" si="23"/>
        <v>9.078</v>
      </c>
      <c r="H92" s="265">
        <f t="shared" si="25"/>
        <v>0.06</v>
      </c>
      <c r="I92" s="265">
        <f t="shared" si="21"/>
        <v>0.018</v>
      </c>
      <c r="J92" s="258">
        <v>1.5</v>
      </c>
      <c r="K92" s="258">
        <f t="shared" ref="K92:K97" si="26">J92*C92</f>
        <v>9</v>
      </c>
      <c r="L92" s="258"/>
      <c r="M92" s="258">
        <f t="shared" si="22"/>
        <v>0.024</v>
      </c>
      <c r="N92" s="263"/>
      <c r="P92" s="284"/>
    </row>
    <row r="93" s="153" customFormat="1" ht="17.1" customHeight="1" spans="1:16">
      <c r="A93" s="281">
        <v>89</v>
      </c>
      <c r="B93" s="172" t="s">
        <v>267</v>
      </c>
      <c r="C93" s="275">
        <v>3</v>
      </c>
      <c r="D93" s="280">
        <v>6</v>
      </c>
      <c r="E93" s="258"/>
      <c r="F93" s="258"/>
      <c r="G93" s="264">
        <f t="shared" si="23"/>
        <v>6.039</v>
      </c>
      <c r="H93" s="265">
        <f t="shared" si="25"/>
        <v>0.03</v>
      </c>
      <c r="I93" s="265">
        <f t="shared" si="21"/>
        <v>0.009</v>
      </c>
      <c r="J93" s="258">
        <v>2</v>
      </c>
      <c r="K93" s="258">
        <f t="shared" si="26"/>
        <v>6</v>
      </c>
      <c r="L93" s="258"/>
      <c r="M93" s="258">
        <f t="shared" si="22"/>
        <v>0.012</v>
      </c>
      <c r="N93" s="263"/>
      <c r="P93" s="284"/>
    </row>
    <row r="94" s="153" customFormat="1" ht="17.1" customHeight="1" spans="1:16">
      <c r="A94" s="281"/>
      <c r="B94" s="172" t="s">
        <v>268</v>
      </c>
      <c r="C94" s="275">
        <v>8</v>
      </c>
      <c r="D94" s="280">
        <v>6</v>
      </c>
      <c r="E94" s="258"/>
      <c r="F94" s="258"/>
      <c r="G94" s="264">
        <f t="shared" si="23"/>
        <v>15.704</v>
      </c>
      <c r="H94" s="265">
        <f t="shared" si="25"/>
        <v>0.08</v>
      </c>
      <c r="I94" s="265">
        <f t="shared" si="21"/>
        <v>0.024</v>
      </c>
      <c r="J94" s="258">
        <v>1.5</v>
      </c>
      <c r="K94" s="258">
        <f t="shared" si="26"/>
        <v>12</v>
      </c>
      <c r="L94" s="258">
        <v>3.6</v>
      </c>
      <c r="M94" s="258">
        <f t="shared" si="22"/>
        <v>0.032</v>
      </c>
      <c r="N94" s="263"/>
      <c r="P94" s="284"/>
    </row>
    <row r="95" s="153" customFormat="1" ht="17.1" customHeight="1" spans="1:16">
      <c r="A95" s="281"/>
      <c r="B95" s="172" t="s">
        <v>269</v>
      </c>
      <c r="C95" s="275">
        <v>16</v>
      </c>
      <c r="D95" s="257">
        <v>50</v>
      </c>
      <c r="E95" s="258"/>
      <c r="F95" s="258"/>
      <c r="G95" s="264">
        <f t="shared" si="23"/>
        <v>16.208</v>
      </c>
      <c r="H95" s="265">
        <f t="shared" si="25"/>
        <v>0.16</v>
      </c>
      <c r="I95" s="265">
        <f t="shared" si="21"/>
        <v>0.048</v>
      </c>
      <c r="J95" s="258">
        <v>1</v>
      </c>
      <c r="K95" s="258">
        <f t="shared" si="26"/>
        <v>16</v>
      </c>
      <c r="L95" s="258"/>
      <c r="M95" s="258">
        <f t="shared" si="22"/>
        <v>0.064</v>
      </c>
      <c r="N95" s="263"/>
      <c r="P95" s="284"/>
    </row>
    <row r="96" s="153" customFormat="1" ht="17.1" customHeight="1" spans="1:16">
      <c r="A96" s="281"/>
      <c r="B96" s="172" t="s">
        <v>378</v>
      </c>
      <c r="C96" s="275">
        <v>74</v>
      </c>
      <c r="D96" s="257">
        <v>47</v>
      </c>
      <c r="E96" s="258"/>
      <c r="F96" s="258"/>
      <c r="G96" s="264">
        <f t="shared" si="23"/>
        <v>79.402</v>
      </c>
      <c r="H96" s="265">
        <f t="shared" si="25"/>
        <v>0.74</v>
      </c>
      <c r="I96" s="265">
        <f t="shared" si="21"/>
        <v>0.222</v>
      </c>
      <c r="J96" s="258">
        <v>1</v>
      </c>
      <c r="K96" s="258">
        <f t="shared" si="26"/>
        <v>74</v>
      </c>
      <c r="L96" s="258">
        <v>4.44</v>
      </c>
      <c r="M96" s="258">
        <f t="shared" si="22"/>
        <v>0.296</v>
      </c>
      <c r="N96" s="263"/>
      <c r="P96" s="284"/>
    </row>
    <row r="97" s="153" customFormat="1" ht="17.1" customHeight="1" spans="1:16">
      <c r="A97" s="281"/>
      <c r="B97" s="172" t="s">
        <v>379</v>
      </c>
      <c r="C97" s="275">
        <v>1</v>
      </c>
      <c r="D97" s="257">
        <v>4</v>
      </c>
      <c r="E97" s="258"/>
      <c r="F97" s="258"/>
      <c r="G97" s="264">
        <f t="shared" si="23"/>
        <v>2.013</v>
      </c>
      <c r="H97" s="265">
        <f t="shared" si="25"/>
        <v>0.01</v>
      </c>
      <c r="I97" s="265">
        <f t="shared" si="21"/>
        <v>0.003</v>
      </c>
      <c r="J97" s="258">
        <v>2</v>
      </c>
      <c r="K97" s="258">
        <f t="shared" si="26"/>
        <v>2</v>
      </c>
      <c r="L97" s="258"/>
      <c r="M97" s="258">
        <f t="shared" si="22"/>
        <v>0.004</v>
      </c>
      <c r="N97" s="263"/>
      <c r="P97" s="284"/>
    </row>
    <row r="98" s="153" customFormat="1" ht="17.1" customHeight="1" spans="1:16">
      <c r="A98" s="281"/>
      <c r="B98" s="172" t="s">
        <v>380</v>
      </c>
      <c r="C98" s="275"/>
      <c r="D98" s="257"/>
      <c r="E98" s="258">
        <v>10</v>
      </c>
      <c r="F98" s="258"/>
      <c r="G98" s="264">
        <f t="shared" si="23"/>
        <v>0</v>
      </c>
      <c r="H98" s="265"/>
      <c r="I98" s="265"/>
      <c r="J98" s="258"/>
      <c r="K98" s="258"/>
      <c r="L98" s="258"/>
      <c r="M98" s="258"/>
      <c r="N98" s="263"/>
      <c r="P98" s="284"/>
    </row>
    <row r="99" s="153" customFormat="1" ht="17.1" customHeight="1" spans="1:16">
      <c r="A99" s="281" t="s">
        <v>381</v>
      </c>
      <c r="B99" s="169" t="s">
        <v>273</v>
      </c>
      <c r="C99" s="257">
        <f>SUM(C100,C107:C108)</f>
        <v>231</v>
      </c>
      <c r="D99" s="257">
        <f>SUM(D100,D107:D108)</f>
        <v>123</v>
      </c>
      <c r="E99" s="258"/>
      <c r="F99" s="258">
        <f>SUM(F100,F107:F108)</f>
        <v>0</v>
      </c>
      <c r="G99" s="264">
        <f t="shared" si="23"/>
        <v>482.27</v>
      </c>
      <c r="H99" s="265">
        <f t="shared" ref="H99:H114" si="27">C99*100/10000</f>
        <v>2.31</v>
      </c>
      <c r="I99" s="265">
        <f t="shared" ref="I99:I136" si="28">C99*30/10000</f>
        <v>0.693</v>
      </c>
      <c r="J99" s="258"/>
      <c r="K99" s="258">
        <f>SUM(K100,K107:K108)</f>
        <v>386</v>
      </c>
      <c r="L99" s="258">
        <f>SUM(L100,L107:L108)</f>
        <v>93.267</v>
      </c>
      <c r="M99" s="258">
        <f t="shared" si="22"/>
        <v>0.924</v>
      </c>
      <c r="N99" s="263"/>
      <c r="P99" s="284"/>
    </row>
    <row r="100" s="153" customFormat="1" ht="17.1" customHeight="1" spans="1:16">
      <c r="A100" s="281"/>
      <c r="B100" s="172" t="s">
        <v>274</v>
      </c>
      <c r="C100" s="257">
        <f>SUM(C101:C106)</f>
        <v>181</v>
      </c>
      <c r="D100" s="257">
        <f>SUM(D101:D106)</f>
        <v>77</v>
      </c>
      <c r="E100" s="258"/>
      <c r="F100" s="258">
        <f>SUM(F101:F106)</f>
        <v>0</v>
      </c>
      <c r="G100" s="264">
        <f t="shared" si="23"/>
        <v>414.152</v>
      </c>
      <c r="H100" s="265">
        <f t="shared" si="27"/>
        <v>1.81</v>
      </c>
      <c r="I100" s="265">
        <f t="shared" si="28"/>
        <v>0.543</v>
      </c>
      <c r="J100" s="258"/>
      <c r="K100" s="258">
        <f>SUM(K101:K106)</f>
        <v>333</v>
      </c>
      <c r="L100" s="258">
        <f>SUM(L101:L106)</f>
        <v>78.799</v>
      </c>
      <c r="M100" s="258">
        <f t="shared" si="22"/>
        <v>0.724</v>
      </c>
      <c r="N100" s="263"/>
      <c r="P100" s="284"/>
    </row>
    <row r="101" s="153" customFormat="1" ht="17.1" customHeight="1" spans="1:16">
      <c r="A101" s="281"/>
      <c r="B101" s="182" t="s">
        <v>275</v>
      </c>
      <c r="C101" s="275">
        <v>32</v>
      </c>
      <c r="D101" s="257">
        <v>22</v>
      </c>
      <c r="E101" s="258"/>
      <c r="F101" s="258"/>
      <c r="G101" s="264">
        <f t="shared" si="23"/>
        <v>80.807</v>
      </c>
      <c r="H101" s="265">
        <f t="shared" si="27"/>
        <v>0.32</v>
      </c>
      <c r="I101" s="265">
        <f t="shared" si="28"/>
        <v>0.096</v>
      </c>
      <c r="J101" s="258">
        <v>2</v>
      </c>
      <c r="K101" s="258">
        <f>J101*C101</f>
        <v>64</v>
      </c>
      <c r="L101" s="258">
        <v>16.391</v>
      </c>
      <c r="M101" s="258">
        <f t="shared" si="22"/>
        <v>0.128</v>
      </c>
      <c r="N101" s="267"/>
      <c r="P101" s="284"/>
    </row>
    <row r="102" s="153" customFormat="1" ht="17.1" customHeight="1" spans="1:16">
      <c r="A102" s="281" t="s">
        <v>382</v>
      </c>
      <c r="B102" s="182" t="s">
        <v>277</v>
      </c>
      <c r="C102" s="275">
        <v>24</v>
      </c>
      <c r="D102" s="257">
        <v>10</v>
      </c>
      <c r="E102" s="258"/>
      <c r="F102" s="258"/>
      <c r="G102" s="264">
        <f t="shared" si="23"/>
        <v>58.862</v>
      </c>
      <c r="H102" s="265">
        <f t="shared" si="27"/>
        <v>0.24</v>
      </c>
      <c r="I102" s="265">
        <f t="shared" si="28"/>
        <v>0.072</v>
      </c>
      <c r="J102" s="258">
        <v>2</v>
      </c>
      <c r="K102" s="258">
        <f t="shared" ref="K102:K107" si="29">J102*C102</f>
        <v>48</v>
      </c>
      <c r="L102" s="258">
        <v>10.55</v>
      </c>
      <c r="M102" s="258">
        <f t="shared" si="22"/>
        <v>0.096</v>
      </c>
      <c r="N102" s="263"/>
      <c r="P102" s="284"/>
    </row>
    <row r="103" s="153" customFormat="1" ht="17.1" customHeight="1" spans="1:16">
      <c r="A103" s="281"/>
      <c r="B103" s="182" t="s">
        <v>278</v>
      </c>
      <c r="C103" s="275">
        <v>9</v>
      </c>
      <c r="D103" s="257">
        <v>2</v>
      </c>
      <c r="E103" s="258"/>
      <c r="F103" s="258"/>
      <c r="G103" s="264">
        <f t="shared" si="23"/>
        <v>18.117</v>
      </c>
      <c r="H103" s="265">
        <f t="shared" si="27"/>
        <v>0.09</v>
      </c>
      <c r="I103" s="265">
        <f t="shared" si="28"/>
        <v>0.027</v>
      </c>
      <c r="J103" s="258">
        <v>2</v>
      </c>
      <c r="K103" s="258">
        <f t="shared" si="29"/>
        <v>18</v>
      </c>
      <c r="L103" s="258"/>
      <c r="M103" s="258">
        <f t="shared" si="22"/>
        <v>0.036</v>
      </c>
      <c r="N103" s="263"/>
      <c r="P103" s="284"/>
    </row>
    <row r="104" s="153" customFormat="1" ht="17.1" customHeight="1" spans="1:16">
      <c r="A104" s="281"/>
      <c r="B104" s="182" t="s">
        <v>279</v>
      </c>
      <c r="C104" s="275">
        <v>44</v>
      </c>
      <c r="D104" s="257">
        <v>15</v>
      </c>
      <c r="E104" s="258"/>
      <c r="F104" s="258"/>
      <c r="G104" s="264">
        <f t="shared" ref="G104:G164" si="30">H104+I104+K104+L104</f>
        <v>103.922</v>
      </c>
      <c r="H104" s="265">
        <f t="shared" si="27"/>
        <v>0.44</v>
      </c>
      <c r="I104" s="265">
        <f t="shared" si="28"/>
        <v>0.132</v>
      </c>
      <c r="J104" s="258">
        <v>2</v>
      </c>
      <c r="K104" s="258">
        <f t="shared" si="29"/>
        <v>88</v>
      </c>
      <c r="L104" s="258">
        <v>15.35</v>
      </c>
      <c r="M104" s="258">
        <f t="shared" si="22"/>
        <v>0.176</v>
      </c>
      <c r="N104" s="263"/>
      <c r="P104" s="284"/>
    </row>
    <row r="105" s="153" customFormat="1" ht="17.1" customHeight="1" spans="1:16">
      <c r="A105" s="281"/>
      <c r="B105" s="182" t="s">
        <v>383</v>
      </c>
      <c r="C105" s="275">
        <v>29</v>
      </c>
      <c r="D105" s="280">
        <v>8</v>
      </c>
      <c r="E105" s="258"/>
      <c r="F105" s="258"/>
      <c r="G105" s="264">
        <f t="shared" si="30"/>
        <v>34.829</v>
      </c>
      <c r="H105" s="265">
        <f t="shared" si="27"/>
        <v>0.29</v>
      </c>
      <c r="I105" s="265">
        <f t="shared" si="28"/>
        <v>0.087</v>
      </c>
      <c r="J105" s="258">
        <v>1</v>
      </c>
      <c r="K105" s="258">
        <f t="shared" si="29"/>
        <v>29</v>
      </c>
      <c r="L105" s="258">
        <v>5.452</v>
      </c>
      <c r="M105" s="258">
        <f t="shared" si="22"/>
        <v>0.116</v>
      </c>
      <c r="N105" s="263"/>
      <c r="P105" s="284"/>
    </row>
    <row r="106" s="153" customFormat="1" ht="17.1" customHeight="1" spans="1:16">
      <c r="A106" s="281" t="s">
        <v>384</v>
      </c>
      <c r="B106" s="182" t="s">
        <v>385</v>
      </c>
      <c r="C106" s="275">
        <v>43</v>
      </c>
      <c r="D106" s="257">
        <v>20</v>
      </c>
      <c r="E106" s="258"/>
      <c r="F106" s="258"/>
      <c r="G106" s="264">
        <f t="shared" si="30"/>
        <v>117.615</v>
      </c>
      <c r="H106" s="265">
        <f t="shared" si="27"/>
        <v>0.43</v>
      </c>
      <c r="I106" s="265">
        <f t="shared" si="28"/>
        <v>0.129</v>
      </c>
      <c r="J106" s="258">
        <v>2</v>
      </c>
      <c r="K106" s="258">
        <f t="shared" si="29"/>
        <v>86</v>
      </c>
      <c r="L106" s="258">
        <v>31.056</v>
      </c>
      <c r="M106" s="258">
        <f t="shared" si="22"/>
        <v>0.172</v>
      </c>
      <c r="N106" s="263"/>
      <c r="P106" s="284"/>
    </row>
    <row r="107" s="153" customFormat="1" ht="17.1" customHeight="1" spans="1:16">
      <c r="A107" s="281"/>
      <c r="B107" s="172" t="s">
        <v>283</v>
      </c>
      <c r="C107" s="275">
        <v>38</v>
      </c>
      <c r="D107" s="280">
        <v>42</v>
      </c>
      <c r="E107" s="258"/>
      <c r="F107" s="258"/>
      <c r="G107" s="264">
        <f t="shared" si="30"/>
        <v>48.672</v>
      </c>
      <c r="H107" s="265">
        <f t="shared" si="27"/>
        <v>0.38</v>
      </c>
      <c r="I107" s="265">
        <f t="shared" si="28"/>
        <v>0.114</v>
      </c>
      <c r="J107" s="258">
        <v>1</v>
      </c>
      <c r="K107" s="258">
        <f t="shared" si="29"/>
        <v>38</v>
      </c>
      <c r="L107" s="258">
        <v>10.178</v>
      </c>
      <c r="M107" s="258">
        <f t="shared" si="22"/>
        <v>0.152</v>
      </c>
      <c r="N107" s="289"/>
      <c r="P107" s="284"/>
    </row>
    <row r="108" s="226" customFormat="1" ht="17.1" customHeight="1" spans="1:16">
      <c r="A108" s="286"/>
      <c r="B108" s="183" t="s">
        <v>284</v>
      </c>
      <c r="C108" s="275">
        <v>12</v>
      </c>
      <c r="D108" s="224">
        <v>4</v>
      </c>
      <c r="E108" s="265"/>
      <c r="F108" s="265"/>
      <c r="G108" s="264">
        <f t="shared" si="30"/>
        <v>19.446</v>
      </c>
      <c r="H108" s="265">
        <f t="shared" si="27"/>
        <v>0.12</v>
      </c>
      <c r="I108" s="265">
        <f t="shared" si="28"/>
        <v>0.036</v>
      </c>
      <c r="J108" s="265"/>
      <c r="K108" s="265">
        <v>15</v>
      </c>
      <c r="L108" s="265">
        <v>4.29</v>
      </c>
      <c r="M108" s="258">
        <f t="shared" si="22"/>
        <v>0.048</v>
      </c>
      <c r="N108" s="289"/>
      <c r="P108" s="288"/>
    </row>
    <row r="109" s="153" customFormat="1" ht="17.1" customHeight="1" spans="1:16">
      <c r="A109" s="281">
        <v>115</v>
      </c>
      <c r="B109" s="169" t="s">
        <v>285</v>
      </c>
      <c r="C109" s="257">
        <f>SUM(C110:C115)</f>
        <v>857</v>
      </c>
      <c r="D109" s="257">
        <f>SUM(D110:D115)</f>
        <v>550</v>
      </c>
      <c r="E109" s="258">
        <f>SUM(E110:E115)</f>
        <v>0</v>
      </c>
      <c r="F109" s="258">
        <f>SUM(F110:F115)</f>
        <v>0</v>
      </c>
      <c r="G109" s="264">
        <f t="shared" si="30"/>
        <v>274.989</v>
      </c>
      <c r="H109" s="265">
        <f t="shared" si="27"/>
        <v>8.57</v>
      </c>
      <c r="I109" s="265">
        <f t="shared" si="28"/>
        <v>2.571</v>
      </c>
      <c r="J109" s="258">
        <v>0</v>
      </c>
      <c r="K109" s="258">
        <f>SUM(K110:K115)</f>
        <v>232.2</v>
      </c>
      <c r="L109" s="292">
        <f>SUM(L110:L115)</f>
        <v>31.648</v>
      </c>
      <c r="M109" s="258">
        <f t="shared" si="22"/>
        <v>3.428</v>
      </c>
      <c r="N109" s="263"/>
      <c r="P109" s="284"/>
    </row>
    <row r="110" s="153" customFormat="1" ht="17.1" customHeight="1" spans="1:16">
      <c r="A110" s="281"/>
      <c r="B110" s="172" t="s">
        <v>386</v>
      </c>
      <c r="C110" s="275">
        <v>44</v>
      </c>
      <c r="D110" s="257">
        <v>44</v>
      </c>
      <c r="E110" s="258"/>
      <c r="F110" s="258"/>
      <c r="G110" s="264">
        <f t="shared" si="30"/>
        <v>63.52</v>
      </c>
      <c r="H110" s="265">
        <f t="shared" si="27"/>
        <v>0.44</v>
      </c>
      <c r="I110" s="265">
        <f t="shared" si="28"/>
        <v>0.132</v>
      </c>
      <c r="J110" s="258">
        <v>1</v>
      </c>
      <c r="K110" s="258">
        <f>J110*C110</f>
        <v>44</v>
      </c>
      <c r="L110" s="258">
        <v>18.948</v>
      </c>
      <c r="M110" s="258">
        <f t="shared" si="22"/>
        <v>0.176</v>
      </c>
      <c r="N110" s="267"/>
      <c r="P110" s="284"/>
    </row>
    <row r="111" s="153" customFormat="1" ht="17.1" customHeight="1" spans="1:16">
      <c r="A111" s="281"/>
      <c r="B111" s="172" t="s">
        <v>387</v>
      </c>
      <c r="C111" s="257">
        <v>652</v>
      </c>
      <c r="D111" s="257">
        <v>432</v>
      </c>
      <c r="E111" s="258"/>
      <c r="F111" s="258"/>
      <c r="G111" s="264">
        <f t="shared" si="30"/>
        <v>8.476</v>
      </c>
      <c r="H111" s="265">
        <f t="shared" si="27"/>
        <v>6.52</v>
      </c>
      <c r="I111" s="265">
        <f t="shared" si="28"/>
        <v>1.956</v>
      </c>
      <c r="J111" s="258"/>
      <c r="K111" s="258"/>
      <c r="L111" s="258"/>
      <c r="M111" s="258">
        <f t="shared" si="22"/>
        <v>2.608</v>
      </c>
      <c r="N111" s="267"/>
      <c r="P111" s="284"/>
    </row>
    <row r="112" s="153" customFormat="1" ht="17.1" customHeight="1" spans="1:16">
      <c r="A112" s="281" t="s">
        <v>388</v>
      </c>
      <c r="B112" s="172" t="s">
        <v>389</v>
      </c>
      <c r="C112" s="275">
        <v>62</v>
      </c>
      <c r="D112" s="257">
        <v>30</v>
      </c>
      <c r="E112" s="258"/>
      <c r="F112" s="258"/>
      <c r="G112" s="264">
        <f t="shared" si="30"/>
        <v>62.806</v>
      </c>
      <c r="H112" s="265">
        <f t="shared" si="27"/>
        <v>0.62</v>
      </c>
      <c r="I112" s="265">
        <f t="shared" si="28"/>
        <v>0.186</v>
      </c>
      <c r="J112" s="258">
        <v>1</v>
      </c>
      <c r="K112" s="258">
        <f t="shared" ref="K112:K117" si="31">J112*C112</f>
        <v>62</v>
      </c>
      <c r="L112" s="258"/>
      <c r="M112" s="258">
        <f t="shared" si="22"/>
        <v>0.248</v>
      </c>
      <c r="N112" s="263"/>
      <c r="P112" s="284"/>
    </row>
    <row r="113" s="153" customFormat="1" ht="17.1" customHeight="1" spans="1:16">
      <c r="A113" s="281">
        <v>113</v>
      </c>
      <c r="B113" s="172" t="s">
        <v>390</v>
      </c>
      <c r="C113" s="275">
        <v>21</v>
      </c>
      <c r="D113" s="257">
        <v>3</v>
      </c>
      <c r="E113" s="258"/>
      <c r="F113" s="258"/>
      <c r="G113" s="264">
        <f t="shared" si="30"/>
        <v>57.703</v>
      </c>
      <c r="H113" s="265">
        <f t="shared" si="27"/>
        <v>0.21</v>
      </c>
      <c r="I113" s="265">
        <f t="shared" si="28"/>
        <v>0.063</v>
      </c>
      <c r="J113" s="258">
        <v>2.2</v>
      </c>
      <c r="K113" s="258">
        <f t="shared" si="31"/>
        <v>46.2</v>
      </c>
      <c r="L113" s="258">
        <v>11.23</v>
      </c>
      <c r="M113" s="258">
        <f t="shared" si="22"/>
        <v>0.084</v>
      </c>
      <c r="N113" s="263"/>
      <c r="P113" s="284"/>
    </row>
    <row r="114" s="153" customFormat="1" ht="17.1" customHeight="1" spans="1:16">
      <c r="A114" s="281">
        <v>112</v>
      </c>
      <c r="B114" s="172" t="s">
        <v>391</v>
      </c>
      <c r="C114" s="275">
        <v>76</v>
      </c>
      <c r="D114" s="257">
        <v>38</v>
      </c>
      <c r="E114" s="258"/>
      <c r="F114" s="258"/>
      <c r="G114" s="264">
        <f t="shared" si="30"/>
        <v>76.988</v>
      </c>
      <c r="H114" s="265">
        <f t="shared" si="27"/>
        <v>0.76</v>
      </c>
      <c r="I114" s="265">
        <f t="shared" si="28"/>
        <v>0.228</v>
      </c>
      <c r="J114" s="258">
        <v>1</v>
      </c>
      <c r="K114" s="258">
        <f t="shared" si="31"/>
        <v>76</v>
      </c>
      <c r="L114" s="258"/>
      <c r="M114" s="258">
        <f t="shared" si="22"/>
        <v>0.304</v>
      </c>
      <c r="N114" s="263"/>
      <c r="P114" s="284"/>
    </row>
    <row r="115" s="153" customFormat="1" ht="17.1" customHeight="1" spans="1:16">
      <c r="A115" s="281"/>
      <c r="B115" s="172" t="s">
        <v>392</v>
      </c>
      <c r="C115" s="257">
        <v>2</v>
      </c>
      <c r="D115" s="257">
        <v>3</v>
      </c>
      <c r="E115" s="258"/>
      <c r="F115" s="258"/>
      <c r="G115" s="264">
        <f t="shared" si="30"/>
        <v>5.496</v>
      </c>
      <c r="H115" s="265">
        <f t="shared" ref="H115:H143" si="32">C115*100/10000</f>
        <v>0.02</v>
      </c>
      <c r="I115" s="265">
        <f t="shared" si="28"/>
        <v>0.006</v>
      </c>
      <c r="J115" s="258">
        <v>2</v>
      </c>
      <c r="K115" s="258">
        <f t="shared" si="31"/>
        <v>4</v>
      </c>
      <c r="L115" s="258">
        <v>1.47</v>
      </c>
      <c r="M115" s="258">
        <f t="shared" ref="M115:M143" si="33">C115*0.004</f>
        <v>0.008</v>
      </c>
      <c r="N115" s="263"/>
      <c r="P115" s="284"/>
    </row>
    <row r="116" s="153" customFormat="1" ht="17.1" customHeight="1" spans="1:16">
      <c r="A116" s="281"/>
      <c r="B116" s="169" t="s">
        <v>294</v>
      </c>
      <c r="C116" s="257">
        <f>C117</f>
        <v>3</v>
      </c>
      <c r="D116" s="257">
        <f>D117</f>
        <v>16</v>
      </c>
      <c r="E116" s="258"/>
      <c r="F116" s="258">
        <f>F117</f>
        <v>0</v>
      </c>
      <c r="G116" s="264">
        <f t="shared" si="30"/>
        <v>7.3146</v>
      </c>
      <c r="H116" s="265">
        <f t="shared" si="32"/>
        <v>0.03</v>
      </c>
      <c r="I116" s="265">
        <f t="shared" si="28"/>
        <v>0.009</v>
      </c>
      <c r="J116" s="258">
        <v>2</v>
      </c>
      <c r="K116" s="258">
        <f t="shared" si="31"/>
        <v>6</v>
      </c>
      <c r="L116" s="258">
        <f>L117</f>
        <v>1.2756</v>
      </c>
      <c r="M116" s="258">
        <f t="shared" si="33"/>
        <v>0.012</v>
      </c>
      <c r="N116" s="263"/>
      <c r="P116" s="284"/>
    </row>
    <row r="117" s="153" customFormat="1" ht="17.1" customHeight="1" spans="1:16">
      <c r="A117" s="281"/>
      <c r="B117" s="172" t="s">
        <v>393</v>
      </c>
      <c r="C117" s="257">
        <v>3</v>
      </c>
      <c r="D117" s="257">
        <v>16</v>
      </c>
      <c r="E117" s="258"/>
      <c r="F117" s="258"/>
      <c r="G117" s="264">
        <f t="shared" si="30"/>
        <v>7.3146</v>
      </c>
      <c r="H117" s="265">
        <f t="shared" si="32"/>
        <v>0.03</v>
      </c>
      <c r="I117" s="265">
        <f t="shared" si="28"/>
        <v>0.009</v>
      </c>
      <c r="J117" s="258">
        <v>2</v>
      </c>
      <c r="K117" s="258">
        <f t="shared" si="31"/>
        <v>6</v>
      </c>
      <c r="L117" s="258">
        <v>1.2756</v>
      </c>
      <c r="M117" s="258">
        <f t="shared" si="33"/>
        <v>0.012</v>
      </c>
      <c r="N117" s="157"/>
      <c r="P117" s="284"/>
    </row>
    <row r="118" s="153" customFormat="1" ht="17.1" customHeight="1" spans="1:16">
      <c r="A118" s="281">
        <v>75</v>
      </c>
      <c r="B118" s="169" t="s">
        <v>297</v>
      </c>
      <c r="C118" s="257">
        <f>SUM(C119,C127)</f>
        <v>259</v>
      </c>
      <c r="D118" s="257">
        <f>SUM(D119,D127)</f>
        <v>117</v>
      </c>
      <c r="E118" s="258">
        <f>SUM(E119,E127)</f>
        <v>0</v>
      </c>
      <c r="F118" s="258">
        <f>SUM(F119,F127)</f>
        <v>0</v>
      </c>
      <c r="G118" s="264">
        <f t="shared" si="30"/>
        <v>507.354</v>
      </c>
      <c r="H118" s="265">
        <f t="shared" si="32"/>
        <v>2.59</v>
      </c>
      <c r="I118" s="265">
        <f t="shared" si="28"/>
        <v>0.777</v>
      </c>
      <c r="J118" s="258"/>
      <c r="K118" s="258">
        <f>SUM(K119,K127)</f>
        <v>443</v>
      </c>
      <c r="L118" s="258">
        <f>SUM(L119,L127)</f>
        <v>60.987</v>
      </c>
      <c r="M118" s="258">
        <f t="shared" si="33"/>
        <v>1.036</v>
      </c>
      <c r="N118" s="263"/>
      <c r="P118" s="284"/>
    </row>
    <row r="119" s="153" customFormat="1" ht="17.1" customHeight="1" spans="1:16">
      <c r="A119" s="281"/>
      <c r="B119" s="172" t="s">
        <v>298</v>
      </c>
      <c r="C119" s="257">
        <f>SUM(C120:C126)</f>
        <v>195</v>
      </c>
      <c r="D119" s="257">
        <f>SUM(D120:D126)</f>
        <v>75</v>
      </c>
      <c r="E119" s="258">
        <f>SUM(E120:E126)</f>
        <v>0</v>
      </c>
      <c r="F119" s="258">
        <f>SUM(F120:F126)</f>
        <v>0</v>
      </c>
      <c r="G119" s="264">
        <f t="shared" si="30"/>
        <v>442.522</v>
      </c>
      <c r="H119" s="265">
        <f t="shared" si="32"/>
        <v>1.95</v>
      </c>
      <c r="I119" s="265">
        <f t="shared" si="28"/>
        <v>0.585</v>
      </c>
      <c r="J119" s="258"/>
      <c r="K119" s="258">
        <f>SUM(K120:K126)</f>
        <v>379</v>
      </c>
      <c r="L119" s="258">
        <f>SUM(L120:L126)</f>
        <v>60.987</v>
      </c>
      <c r="M119" s="258">
        <f t="shared" si="33"/>
        <v>0.78</v>
      </c>
      <c r="N119" s="263"/>
      <c r="P119" s="284"/>
    </row>
    <row r="120" s="153" customFormat="1" ht="17.1" customHeight="1" spans="1:16">
      <c r="A120" s="281"/>
      <c r="B120" s="182" t="s">
        <v>299</v>
      </c>
      <c r="C120" s="275">
        <v>32</v>
      </c>
      <c r="D120" s="257">
        <v>24</v>
      </c>
      <c r="E120" s="258"/>
      <c r="F120" s="258"/>
      <c r="G120" s="264">
        <f t="shared" si="30"/>
        <v>44.722</v>
      </c>
      <c r="H120" s="265">
        <f t="shared" si="32"/>
        <v>0.32</v>
      </c>
      <c r="I120" s="265">
        <f t="shared" si="28"/>
        <v>0.096</v>
      </c>
      <c r="J120" s="258">
        <v>1</v>
      </c>
      <c r="K120" s="258">
        <f>J120*C120</f>
        <v>32</v>
      </c>
      <c r="L120" s="258">
        <v>12.306</v>
      </c>
      <c r="M120" s="258">
        <f t="shared" si="33"/>
        <v>0.128</v>
      </c>
      <c r="N120" s="270"/>
      <c r="P120" s="284"/>
    </row>
    <row r="121" s="153" customFormat="1" ht="17.1" customHeight="1" spans="1:16">
      <c r="A121" s="281"/>
      <c r="B121" s="182" t="s">
        <v>300</v>
      </c>
      <c r="C121" s="275">
        <v>31</v>
      </c>
      <c r="D121" s="257">
        <v>27</v>
      </c>
      <c r="E121" s="258"/>
      <c r="F121" s="258"/>
      <c r="G121" s="264">
        <f t="shared" si="30"/>
        <v>31.403</v>
      </c>
      <c r="H121" s="265">
        <f t="shared" si="32"/>
        <v>0.31</v>
      </c>
      <c r="I121" s="265">
        <f t="shared" si="28"/>
        <v>0.093</v>
      </c>
      <c r="J121" s="258">
        <v>1</v>
      </c>
      <c r="K121" s="258">
        <f t="shared" ref="K121:K127" si="34">J121*C121</f>
        <v>31</v>
      </c>
      <c r="L121" s="258"/>
      <c r="M121" s="258">
        <f t="shared" si="33"/>
        <v>0.124</v>
      </c>
      <c r="N121" s="263"/>
      <c r="P121" s="284"/>
    </row>
    <row r="122" s="153" customFormat="1" ht="17.1" customHeight="1" spans="1:16">
      <c r="A122" s="281">
        <v>126</v>
      </c>
      <c r="B122" s="182" t="s">
        <v>394</v>
      </c>
      <c r="C122" s="275">
        <v>15</v>
      </c>
      <c r="D122" s="257">
        <v>3</v>
      </c>
      <c r="E122" s="258"/>
      <c r="F122" s="258"/>
      <c r="G122" s="264">
        <f t="shared" si="30"/>
        <v>42.636</v>
      </c>
      <c r="H122" s="265">
        <f t="shared" si="32"/>
        <v>0.15</v>
      </c>
      <c r="I122" s="265">
        <f t="shared" si="28"/>
        <v>0.045</v>
      </c>
      <c r="J122" s="258">
        <v>2.2</v>
      </c>
      <c r="K122" s="258">
        <f t="shared" si="34"/>
        <v>33</v>
      </c>
      <c r="L122" s="258">
        <v>9.441</v>
      </c>
      <c r="M122" s="258">
        <f t="shared" si="33"/>
        <v>0.06</v>
      </c>
      <c r="N122" s="267"/>
      <c r="P122" s="284"/>
    </row>
    <row r="123" s="153" customFormat="1" ht="17.1" customHeight="1" spans="1:16">
      <c r="A123" s="281"/>
      <c r="B123" s="182" t="s">
        <v>302</v>
      </c>
      <c r="C123" s="275">
        <v>9</v>
      </c>
      <c r="D123" s="257">
        <v>1</v>
      </c>
      <c r="E123" s="258"/>
      <c r="F123" s="258"/>
      <c r="G123" s="264">
        <f t="shared" si="30"/>
        <v>13.617</v>
      </c>
      <c r="H123" s="265">
        <f t="shared" si="32"/>
        <v>0.09</v>
      </c>
      <c r="I123" s="265">
        <f t="shared" si="28"/>
        <v>0.027</v>
      </c>
      <c r="J123" s="258">
        <v>1.5</v>
      </c>
      <c r="K123" s="258">
        <f t="shared" si="34"/>
        <v>13.5</v>
      </c>
      <c r="L123" s="258"/>
      <c r="M123" s="258">
        <f t="shared" si="33"/>
        <v>0.036</v>
      </c>
      <c r="N123" s="263"/>
      <c r="P123" s="284"/>
    </row>
    <row r="124" s="153" customFormat="1" ht="17.1" customHeight="1" spans="1:16">
      <c r="A124" s="281"/>
      <c r="B124" s="182" t="s">
        <v>303</v>
      </c>
      <c r="C124" s="275">
        <v>21</v>
      </c>
      <c r="D124" s="257">
        <v>7</v>
      </c>
      <c r="E124" s="258"/>
      <c r="F124" s="258"/>
      <c r="G124" s="264">
        <f t="shared" si="30"/>
        <v>21.273</v>
      </c>
      <c r="H124" s="265">
        <f t="shared" si="32"/>
        <v>0.21</v>
      </c>
      <c r="I124" s="265">
        <f t="shared" si="28"/>
        <v>0.063</v>
      </c>
      <c r="J124" s="258">
        <v>1</v>
      </c>
      <c r="K124" s="258">
        <f t="shared" si="34"/>
        <v>21</v>
      </c>
      <c r="L124" s="258"/>
      <c r="M124" s="258">
        <f t="shared" si="33"/>
        <v>0.084</v>
      </c>
      <c r="N124" s="263"/>
      <c r="P124" s="284"/>
    </row>
    <row r="125" s="153" customFormat="1" ht="17.1" customHeight="1" spans="1:16">
      <c r="A125" s="281"/>
      <c r="B125" s="182" t="s">
        <v>304</v>
      </c>
      <c r="C125" s="275">
        <v>21</v>
      </c>
      <c r="D125" s="257"/>
      <c r="E125" s="258"/>
      <c r="F125" s="258"/>
      <c r="G125" s="264">
        <f t="shared" si="30"/>
        <v>21.273</v>
      </c>
      <c r="H125" s="265">
        <f t="shared" si="32"/>
        <v>0.21</v>
      </c>
      <c r="I125" s="265">
        <f t="shared" si="28"/>
        <v>0.063</v>
      </c>
      <c r="J125" s="258">
        <v>1</v>
      </c>
      <c r="K125" s="258">
        <f t="shared" si="34"/>
        <v>21</v>
      </c>
      <c r="L125" s="258"/>
      <c r="M125" s="258">
        <f t="shared" si="33"/>
        <v>0.084</v>
      </c>
      <c r="N125" s="263"/>
      <c r="P125" s="284"/>
    </row>
    <row r="126" s="153" customFormat="1" ht="17.1" customHeight="1" spans="1:16">
      <c r="A126" s="281">
        <v>122</v>
      </c>
      <c r="B126" s="182" t="s">
        <v>395</v>
      </c>
      <c r="C126" s="257">
        <v>66</v>
      </c>
      <c r="D126" s="257">
        <v>13</v>
      </c>
      <c r="E126" s="258"/>
      <c r="F126" s="258"/>
      <c r="G126" s="264">
        <f t="shared" si="30"/>
        <v>267.598</v>
      </c>
      <c r="H126" s="265">
        <f t="shared" si="32"/>
        <v>0.66</v>
      </c>
      <c r="I126" s="265">
        <f t="shared" si="28"/>
        <v>0.198</v>
      </c>
      <c r="J126" s="258">
        <v>2.5</v>
      </c>
      <c r="K126" s="258">
        <f>J126*C126+25*2.5</f>
        <v>227.5</v>
      </c>
      <c r="L126" s="258">
        <v>39.24</v>
      </c>
      <c r="M126" s="258">
        <f t="shared" si="33"/>
        <v>0.264</v>
      </c>
      <c r="N126" s="263" t="s">
        <v>396</v>
      </c>
      <c r="P126" s="284"/>
    </row>
    <row r="127" s="153" customFormat="1" ht="17.1" customHeight="1" spans="1:16">
      <c r="A127" s="281">
        <v>123</v>
      </c>
      <c r="B127" s="172" t="s">
        <v>397</v>
      </c>
      <c r="C127" s="257">
        <v>64</v>
      </c>
      <c r="D127" s="257">
        <v>42</v>
      </c>
      <c r="E127" s="258"/>
      <c r="F127" s="258"/>
      <c r="G127" s="264">
        <f t="shared" si="30"/>
        <v>64.832</v>
      </c>
      <c r="H127" s="265">
        <f t="shared" si="32"/>
        <v>0.64</v>
      </c>
      <c r="I127" s="265">
        <f t="shared" si="28"/>
        <v>0.192</v>
      </c>
      <c r="J127" s="258">
        <v>1</v>
      </c>
      <c r="K127" s="258">
        <f t="shared" si="34"/>
        <v>64</v>
      </c>
      <c r="L127" s="258"/>
      <c r="M127" s="258">
        <f t="shared" si="33"/>
        <v>0.256</v>
      </c>
      <c r="N127" s="263"/>
      <c r="P127" s="284"/>
    </row>
    <row r="128" s="153" customFormat="1" ht="17.1" customHeight="1" spans="1:16">
      <c r="A128" s="281"/>
      <c r="B128" s="169" t="s">
        <v>307</v>
      </c>
      <c r="C128" s="257">
        <f>C129+C137+C142</f>
        <v>704</v>
      </c>
      <c r="D128" s="257">
        <f>D129+D137+D142</f>
        <v>868</v>
      </c>
      <c r="E128" s="258">
        <f>E129+E137+E142</f>
        <v>150</v>
      </c>
      <c r="F128" s="258">
        <f>F129+F137+F142</f>
        <v>4</v>
      </c>
      <c r="G128" s="264">
        <f t="shared" si="30"/>
        <v>1122.002</v>
      </c>
      <c r="H128" s="265">
        <f t="shared" si="32"/>
        <v>7.04</v>
      </c>
      <c r="I128" s="265">
        <f t="shared" si="28"/>
        <v>2.112</v>
      </c>
      <c r="J128" s="258"/>
      <c r="K128" s="258">
        <f>K129+K137+K142</f>
        <v>997.5</v>
      </c>
      <c r="L128" s="258">
        <f>L129+L137+L142</f>
        <v>115.35</v>
      </c>
      <c r="M128" s="258">
        <f t="shared" si="33"/>
        <v>2.816</v>
      </c>
      <c r="N128" s="263"/>
      <c r="P128" s="284"/>
    </row>
    <row r="129" s="153" customFormat="1" ht="17.1" customHeight="1" spans="1:16">
      <c r="A129" s="281"/>
      <c r="B129" s="172" t="s">
        <v>308</v>
      </c>
      <c r="C129" s="257">
        <f>SUM(C130,C131,C132:C136)</f>
        <v>301</v>
      </c>
      <c r="D129" s="257">
        <f>SUM(D130,D131,D132:D136)</f>
        <v>319</v>
      </c>
      <c r="E129" s="258">
        <f>SUM(E130,E132:E136)</f>
        <v>0</v>
      </c>
      <c r="F129" s="258">
        <f>SUM(F130,F132:F136)</f>
        <v>1</v>
      </c>
      <c r="G129" s="264">
        <f t="shared" si="30"/>
        <v>455.539</v>
      </c>
      <c r="H129" s="265">
        <f t="shared" si="32"/>
        <v>3.01</v>
      </c>
      <c r="I129" s="265">
        <f t="shared" si="28"/>
        <v>0.903</v>
      </c>
      <c r="J129" s="258"/>
      <c r="K129" s="258">
        <f>SUM(K130,K131,K132:K136)</f>
        <v>362.5</v>
      </c>
      <c r="L129" s="258">
        <f>SUM(L130,L131,L132:L136)</f>
        <v>89.126</v>
      </c>
      <c r="M129" s="258">
        <f t="shared" si="33"/>
        <v>1.204</v>
      </c>
      <c r="N129" s="263"/>
      <c r="P129" s="284"/>
    </row>
    <row r="130" s="153" customFormat="1" ht="17.1" customHeight="1" spans="1:16">
      <c r="A130" s="281"/>
      <c r="B130" s="182" t="s">
        <v>309</v>
      </c>
      <c r="C130" s="293">
        <v>159</v>
      </c>
      <c r="D130" s="290">
        <v>134</v>
      </c>
      <c r="E130" s="99"/>
      <c r="F130" s="99">
        <v>1</v>
      </c>
      <c r="G130" s="264">
        <f t="shared" si="30"/>
        <v>272.763</v>
      </c>
      <c r="H130" s="265">
        <f t="shared" si="32"/>
        <v>1.59</v>
      </c>
      <c r="I130" s="265">
        <f t="shared" si="28"/>
        <v>0.477</v>
      </c>
      <c r="J130" s="99">
        <v>1</v>
      </c>
      <c r="K130" s="258">
        <v>214.5</v>
      </c>
      <c r="L130" s="258">
        <v>56.196</v>
      </c>
      <c r="M130" s="258">
        <f t="shared" si="33"/>
        <v>0.636</v>
      </c>
      <c r="N130" s="270" t="s">
        <v>398</v>
      </c>
      <c r="P130" s="284"/>
    </row>
    <row r="131" s="153" customFormat="1" ht="17.1" customHeight="1" spans="1:16">
      <c r="A131" s="281"/>
      <c r="B131" s="218" t="s">
        <v>310</v>
      </c>
      <c r="C131" s="275">
        <v>38</v>
      </c>
      <c r="D131" s="290">
        <v>37</v>
      </c>
      <c r="E131" s="99"/>
      <c r="F131" s="99"/>
      <c r="G131" s="264">
        <f t="shared" si="30"/>
        <v>38.494</v>
      </c>
      <c r="H131" s="265">
        <f t="shared" si="32"/>
        <v>0.38</v>
      </c>
      <c r="I131" s="265">
        <f t="shared" si="28"/>
        <v>0.114</v>
      </c>
      <c r="J131" s="258">
        <v>1</v>
      </c>
      <c r="K131" s="258">
        <f>J131*C131</f>
        <v>38</v>
      </c>
      <c r="L131" s="258"/>
      <c r="M131" s="258">
        <f t="shared" si="33"/>
        <v>0.152</v>
      </c>
      <c r="N131" s="263"/>
      <c r="P131" s="284"/>
    </row>
    <row r="132" s="153" customFormat="1" ht="17.1" customHeight="1" spans="1:16">
      <c r="A132" s="281">
        <v>66</v>
      </c>
      <c r="B132" s="218" t="s">
        <v>311</v>
      </c>
      <c r="C132" s="275">
        <v>6</v>
      </c>
      <c r="D132" s="257">
        <v>11</v>
      </c>
      <c r="E132" s="258"/>
      <c r="F132" s="258"/>
      <c r="G132" s="264">
        <f t="shared" si="30"/>
        <v>13.478</v>
      </c>
      <c r="H132" s="265">
        <f t="shared" si="32"/>
        <v>0.06</v>
      </c>
      <c r="I132" s="265">
        <f t="shared" si="28"/>
        <v>0.018</v>
      </c>
      <c r="J132" s="258">
        <v>1.5</v>
      </c>
      <c r="K132" s="258">
        <f>J132*C132</f>
        <v>9</v>
      </c>
      <c r="L132" s="258">
        <v>4.4</v>
      </c>
      <c r="M132" s="258">
        <f t="shared" si="33"/>
        <v>0.024</v>
      </c>
      <c r="N132" s="263"/>
      <c r="P132" s="284"/>
    </row>
    <row r="133" s="153" customFormat="1" ht="17.1" customHeight="1" spans="1:16">
      <c r="A133" s="281">
        <v>68</v>
      </c>
      <c r="B133" s="218" t="s">
        <v>312</v>
      </c>
      <c r="C133" s="275">
        <v>21</v>
      </c>
      <c r="D133" s="257">
        <v>31</v>
      </c>
      <c r="E133" s="258"/>
      <c r="F133" s="258"/>
      <c r="G133" s="264">
        <f t="shared" si="30"/>
        <v>31.893</v>
      </c>
      <c r="H133" s="265">
        <f t="shared" si="32"/>
        <v>0.21</v>
      </c>
      <c r="I133" s="265">
        <f t="shared" si="28"/>
        <v>0.063</v>
      </c>
      <c r="J133" s="258">
        <v>1</v>
      </c>
      <c r="K133" s="258">
        <f>J133*C133</f>
        <v>21</v>
      </c>
      <c r="L133" s="258">
        <v>10.62</v>
      </c>
      <c r="M133" s="258">
        <f t="shared" si="33"/>
        <v>0.084</v>
      </c>
      <c r="N133" s="267"/>
      <c r="P133" s="284"/>
    </row>
    <row r="134" s="153" customFormat="1" ht="17.1" customHeight="1" spans="1:16">
      <c r="A134" s="281"/>
      <c r="B134" s="218" t="s">
        <v>313</v>
      </c>
      <c r="C134" s="275">
        <v>33</v>
      </c>
      <c r="D134" s="257">
        <v>77</v>
      </c>
      <c r="E134" s="258"/>
      <c r="F134" s="258"/>
      <c r="G134" s="264">
        <f t="shared" si="30"/>
        <v>33.429</v>
      </c>
      <c r="H134" s="265">
        <f t="shared" si="32"/>
        <v>0.33</v>
      </c>
      <c r="I134" s="265">
        <f t="shared" si="28"/>
        <v>0.099</v>
      </c>
      <c r="J134" s="258">
        <v>1</v>
      </c>
      <c r="K134" s="258">
        <f>J134*C134</f>
        <v>33</v>
      </c>
      <c r="L134" s="258"/>
      <c r="M134" s="258">
        <f t="shared" si="33"/>
        <v>0.132</v>
      </c>
      <c r="N134" s="263"/>
      <c r="P134" s="284"/>
    </row>
    <row r="135" s="226" customFormat="1" ht="17.1" customHeight="1" spans="1:16">
      <c r="A135" s="286">
        <v>70</v>
      </c>
      <c r="B135" s="294" t="s">
        <v>399</v>
      </c>
      <c r="C135" s="275">
        <v>32</v>
      </c>
      <c r="D135" s="224">
        <v>29</v>
      </c>
      <c r="E135" s="265"/>
      <c r="F135" s="265"/>
      <c r="G135" s="264">
        <f t="shared" si="30"/>
        <v>44.446</v>
      </c>
      <c r="H135" s="265">
        <f t="shared" si="32"/>
        <v>0.32</v>
      </c>
      <c r="I135" s="265">
        <f t="shared" si="28"/>
        <v>0.096</v>
      </c>
      <c r="J135" s="265">
        <v>1</v>
      </c>
      <c r="K135" s="258">
        <f>J135*C135</f>
        <v>32</v>
      </c>
      <c r="L135" s="265">
        <v>12.03</v>
      </c>
      <c r="M135" s="258">
        <f t="shared" si="33"/>
        <v>0.128</v>
      </c>
      <c r="N135" s="278"/>
      <c r="P135" s="288"/>
    </row>
    <row r="136" s="153" customFormat="1" ht="17.1" customHeight="1" spans="1:16">
      <c r="A136" s="281" t="s">
        <v>400</v>
      </c>
      <c r="B136" s="218" t="s">
        <v>316</v>
      </c>
      <c r="C136" s="275">
        <v>12</v>
      </c>
      <c r="D136" s="257"/>
      <c r="E136" s="258"/>
      <c r="F136" s="258"/>
      <c r="G136" s="264">
        <f t="shared" si="30"/>
        <v>21.036</v>
      </c>
      <c r="H136" s="265">
        <f t="shared" si="32"/>
        <v>0.12</v>
      </c>
      <c r="I136" s="265">
        <f t="shared" si="28"/>
        <v>0.036</v>
      </c>
      <c r="J136" s="258"/>
      <c r="K136" s="258">
        <v>15</v>
      </c>
      <c r="L136" s="258">
        <v>5.88</v>
      </c>
      <c r="M136" s="258">
        <f t="shared" si="33"/>
        <v>0.048</v>
      </c>
      <c r="N136" s="267"/>
      <c r="P136" s="284"/>
    </row>
    <row r="137" s="153" customFormat="1" ht="17.1" customHeight="1" spans="1:16">
      <c r="A137" s="281">
        <v>19</v>
      </c>
      <c r="B137" s="172" t="s">
        <v>319</v>
      </c>
      <c r="C137" s="257">
        <f>SUM(C138:C141)</f>
        <v>336</v>
      </c>
      <c r="D137" s="257">
        <f>SUM(D138:D141)</f>
        <v>490</v>
      </c>
      <c r="E137" s="258">
        <f>SUM(E138:E141)</f>
        <v>0</v>
      </c>
      <c r="F137" s="258">
        <f>SUM(F138:F141)</f>
        <v>3</v>
      </c>
      <c r="G137" s="264">
        <f t="shared" si="30"/>
        <v>576.216</v>
      </c>
      <c r="H137" s="265">
        <f t="shared" si="32"/>
        <v>3.36</v>
      </c>
      <c r="I137" s="265">
        <f t="shared" ref="I137:I143" si="35">C137*30/10000</f>
        <v>1.008</v>
      </c>
      <c r="J137" s="258">
        <f>SUM(J138:J141)</f>
        <v>5</v>
      </c>
      <c r="K137" s="258">
        <f>SUM(K138:K141)</f>
        <v>564</v>
      </c>
      <c r="L137" s="258">
        <f>SUM(L138:L141)</f>
        <v>7.848</v>
      </c>
      <c r="M137" s="258">
        <f t="shared" si="33"/>
        <v>1.344</v>
      </c>
      <c r="N137" s="263"/>
      <c r="P137" s="284"/>
    </row>
    <row r="138" s="153" customFormat="1" ht="17.1" customHeight="1" spans="1:16">
      <c r="A138" s="281"/>
      <c r="B138" s="182" t="s">
        <v>320</v>
      </c>
      <c r="C138" s="275">
        <v>75</v>
      </c>
      <c r="D138" s="257">
        <v>73</v>
      </c>
      <c r="E138" s="258"/>
      <c r="F138" s="258">
        <v>1</v>
      </c>
      <c r="G138" s="264">
        <f t="shared" si="30"/>
        <v>81.327</v>
      </c>
      <c r="H138" s="265">
        <f t="shared" si="32"/>
        <v>0.75</v>
      </c>
      <c r="I138" s="265">
        <f t="shared" si="35"/>
        <v>0.225</v>
      </c>
      <c r="J138" s="258">
        <v>1</v>
      </c>
      <c r="K138" s="258">
        <f>J138*C138</f>
        <v>75</v>
      </c>
      <c r="L138" s="258">
        <v>5.352</v>
      </c>
      <c r="M138" s="258">
        <f t="shared" si="33"/>
        <v>0.3</v>
      </c>
      <c r="N138" s="157"/>
      <c r="O138" s="157"/>
      <c r="P138" s="284"/>
    </row>
    <row r="139" s="153" customFormat="1" ht="17.1" customHeight="1" spans="1:16">
      <c r="A139" s="281"/>
      <c r="B139" s="182" t="s">
        <v>321</v>
      </c>
      <c r="C139" s="275">
        <v>6</v>
      </c>
      <c r="D139" s="257"/>
      <c r="E139" s="258"/>
      <c r="F139" s="258"/>
      <c r="G139" s="264">
        <f t="shared" si="30"/>
        <v>9.078</v>
      </c>
      <c r="H139" s="265">
        <f t="shared" si="32"/>
        <v>0.06</v>
      </c>
      <c r="I139" s="265">
        <f t="shared" si="35"/>
        <v>0.018</v>
      </c>
      <c r="J139" s="258">
        <v>1.5</v>
      </c>
      <c r="K139" s="258">
        <f>J139*C139</f>
        <v>9</v>
      </c>
      <c r="L139" s="258"/>
      <c r="M139" s="258">
        <f t="shared" si="33"/>
        <v>0.024</v>
      </c>
      <c r="N139" s="267"/>
      <c r="P139" s="284"/>
    </row>
    <row r="140" s="153" customFormat="1" ht="17.1" customHeight="1" spans="1:16">
      <c r="A140" s="281"/>
      <c r="B140" s="182" t="s">
        <v>322</v>
      </c>
      <c r="C140" s="268">
        <v>210</v>
      </c>
      <c r="D140" s="257">
        <v>365</v>
      </c>
      <c r="E140" s="258"/>
      <c r="F140" s="258">
        <v>2</v>
      </c>
      <c r="G140" s="264">
        <f t="shared" si="30"/>
        <v>440.226</v>
      </c>
      <c r="H140" s="265">
        <f t="shared" si="32"/>
        <v>2.1</v>
      </c>
      <c r="I140" s="265">
        <f t="shared" si="35"/>
        <v>0.63</v>
      </c>
      <c r="J140" s="258">
        <v>1.5</v>
      </c>
      <c r="K140" s="258">
        <f>290*1.5</f>
        <v>435</v>
      </c>
      <c r="L140" s="258">
        <v>2.496</v>
      </c>
      <c r="M140" s="258">
        <f t="shared" si="33"/>
        <v>0.84</v>
      </c>
      <c r="N140" s="289" t="s">
        <v>401</v>
      </c>
      <c r="P140" s="284"/>
    </row>
    <row r="141" s="153" customFormat="1" ht="17.1" customHeight="1" spans="1:16">
      <c r="A141" s="281"/>
      <c r="B141" s="182" t="s">
        <v>323</v>
      </c>
      <c r="C141" s="275">
        <v>45</v>
      </c>
      <c r="D141" s="257">
        <v>52</v>
      </c>
      <c r="E141" s="258"/>
      <c r="F141" s="258"/>
      <c r="G141" s="264">
        <f t="shared" si="30"/>
        <v>45.585</v>
      </c>
      <c r="H141" s="265">
        <f t="shared" si="32"/>
        <v>0.45</v>
      </c>
      <c r="I141" s="265">
        <f t="shared" si="35"/>
        <v>0.135</v>
      </c>
      <c r="J141" s="258">
        <v>1</v>
      </c>
      <c r="K141" s="258">
        <f>J141*C141</f>
        <v>45</v>
      </c>
      <c r="L141" s="258"/>
      <c r="M141" s="258">
        <f t="shared" si="33"/>
        <v>0.18</v>
      </c>
      <c r="N141" s="263"/>
      <c r="P141" s="284"/>
    </row>
    <row r="142" s="153" customFormat="1" ht="17.1" customHeight="1" spans="1:16">
      <c r="A142" s="295" t="s">
        <v>402</v>
      </c>
      <c r="B142" s="172" t="s">
        <v>325</v>
      </c>
      <c r="C142" s="257">
        <f>SUM(C143:C145)</f>
        <v>67</v>
      </c>
      <c r="D142" s="257">
        <f>SUM(D143:D145)</f>
        <v>59</v>
      </c>
      <c r="E142" s="258">
        <f>SUM(E143:E145)</f>
        <v>150</v>
      </c>
      <c r="F142" s="258">
        <f>SUM(F143:F143)</f>
        <v>0</v>
      </c>
      <c r="G142" s="264">
        <f t="shared" si="30"/>
        <v>90.247</v>
      </c>
      <c r="H142" s="265">
        <f t="shared" si="32"/>
        <v>0.67</v>
      </c>
      <c r="I142" s="265">
        <f t="shared" si="35"/>
        <v>0.201</v>
      </c>
      <c r="J142" s="258"/>
      <c r="K142" s="258">
        <f>SUM(K143:K145)</f>
        <v>71</v>
      </c>
      <c r="L142" s="258">
        <f>SUM(L143:L145)</f>
        <v>18.376</v>
      </c>
      <c r="M142" s="258">
        <f t="shared" si="33"/>
        <v>0.268</v>
      </c>
      <c r="N142" s="263"/>
      <c r="P142" s="284"/>
    </row>
    <row r="143" s="153" customFormat="1" ht="17.1" customHeight="1" spans="1:16">
      <c r="A143" s="281"/>
      <c r="B143" s="182" t="s">
        <v>326</v>
      </c>
      <c r="C143" s="257">
        <v>59</v>
      </c>
      <c r="D143" s="280">
        <v>54</v>
      </c>
      <c r="E143" s="258"/>
      <c r="F143" s="258"/>
      <c r="G143" s="264">
        <f t="shared" si="30"/>
        <v>74.923</v>
      </c>
      <c r="H143" s="265">
        <f t="shared" si="32"/>
        <v>0.59</v>
      </c>
      <c r="I143" s="265">
        <f t="shared" si="35"/>
        <v>0.177</v>
      </c>
      <c r="J143" s="258">
        <v>1</v>
      </c>
      <c r="K143" s="258">
        <f>J143*C143</f>
        <v>59</v>
      </c>
      <c r="L143" s="258">
        <v>15.156</v>
      </c>
      <c r="M143" s="258">
        <f t="shared" si="33"/>
        <v>0.236</v>
      </c>
      <c r="N143" s="263"/>
      <c r="P143" s="284"/>
    </row>
    <row r="144" s="153" customFormat="1" ht="17.1" customHeight="1" spans="1:16">
      <c r="A144" s="281"/>
      <c r="B144" s="182" t="s">
        <v>403</v>
      </c>
      <c r="C144" s="257"/>
      <c r="D144" s="257"/>
      <c r="E144" s="258">
        <v>150</v>
      </c>
      <c r="F144" s="258"/>
      <c r="G144" s="264">
        <f t="shared" si="30"/>
        <v>0</v>
      </c>
      <c r="H144" s="265"/>
      <c r="I144" s="265"/>
      <c r="J144" s="258"/>
      <c r="K144" s="258"/>
      <c r="L144" s="258"/>
      <c r="M144" s="258"/>
      <c r="N144" s="263"/>
      <c r="P144" s="284"/>
    </row>
    <row r="145" s="153" customFormat="1" ht="17.1" customHeight="1" spans="1:16">
      <c r="A145" s="281"/>
      <c r="B145" s="182" t="s">
        <v>327</v>
      </c>
      <c r="C145" s="257">
        <v>8</v>
      </c>
      <c r="D145" s="257">
        <v>5</v>
      </c>
      <c r="E145" s="258"/>
      <c r="F145" s="258"/>
      <c r="G145" s="264">
        <f t="shared" si="30"/>
        <v>15.324</v>
      </c>
      <c r="H145" s="265">
        <f>C145*100/10000</f>
        <v>0.08</v>
      </c>
      <c r="I145" s="265">
        <f>C145*30/10000</f>
        <v>0.024</v>
      </c>
      <c r="J145" s="258">
        <v>1.5</v>
      </c>
      <c r="K145" s="258">
        <f>J145*C145</f>
        <v>12</v>
      </c>
      <c r="L145" s="258">
        <v>3.22</v>
      </c>
      <c r="M145" s="258">
        <f>C145*0.004</f>
        <v>0.032</v>
      </c>
      <c r="N145" s="263"/>
      <c r="P145" s="284"/>
    </row>
    <row r="146" s="153" customFormat="1" ht="17.1" customHeight="1" spans="1:16">
      <c r="A146" s="281">
        <v>11</v>
      </c>
      <c r="B146" s="169" t="s">
        <v>331</v>
      </c>
      <c r="C146" s="257">
        <f>C147+C151+C150+C149+C148</f>
        <v>231</v>
      </c>
      <c r="D146" s="257">
        <f>D147+D151+D150+D149+D148</f>
        <v>165</v>
      </c>
      <c r="E146" s="257">
        <f>E147+E151+E150+E149+E148</f>
        <v>0</v>
      </c>
      <c r="F146" s="257">
        <f>F147+F151+F150+F149+F148</f>
        <v>1</v>
      </c>
      <c r="G146" s="264">
        <f>G147+G151+G150+G149+G148</f>
        <v>358.885</v>
      </c>
      <c r="H146" s="265">
        <f>C146*100/10000</f>
        <v>2.31</v>
      </c>
      <c r="I146" s="265">
        <f>C146*30/10000</f>
        <v>0.693</v>
      </c>
      <c r="J146" s="258">
        <f>J147+J151+J150+J149</f>
        <v>5.2</v>
      </c>
      <c r="K146" s="258">
        <f>K147+K151+K150+K149+K148</f>
        <v>302.4</v>
      </c>
      <c r="L146" s="258">
        <f>L147+L151+L150+L149</f>
        <v>53.482</v>
      </c>
      <c r="M146" s="258">
        <f>C146*0.004</f>
        <v>0.924</v>
      </c>
      <c r="N146" s="263"/>
      <c r="P146" s="284"/>
    </row>
    <row r="147" s="153" customFormat="1" ht="17.1" customHeight="1" spans="1:16">
      <c r="A147" s="281"/>
      <c r="B147" s="172" t="s">
        <v>404</v>
      </c>
      <c r="C147" s="275">
        <v>70</v>
      </c>
      <c r="D147" s="257">
        <v>34</v>
      </c>
      <c r="E147" s="258"/>
      <c r="F147" s="258">
        <v>1</v>
      </c>
      <c r="G147" s="264">
        <f t="shared" si="30"/>
        <v>81.104</v>
      </c>
      <c r="H147" s="265">
        <f>C147*100/10000</f>
        <v>0.7</v>
      </c>
      <c r="I147" s="265">
        <f>C147*30/10000</f>
        <v>0.21</v>
      </c>
      <c r="J147" s="258">
        <v>1</v>
      </c>
      <c r="K147" s="258">
        <v>70</v>
      </c>
      <c r="L147" s="258">
        <v>10.194</v>
      </c>
      <c r="M147" s="258">
        <f>C147*0.004</f>
        <v>0.28</v>
      </c>
      <c r="N147" s="267"/>
      <c r="P147" s="284"/>
    </row>
    <row r="148" s="153" customFormat="1" ht="17.1" customHeight="1" spans="1:16">
      <c r="A148" s="281"/>
      <c r="B148" s="172" t="s">
        <v>405</v>
      </c>
      <c r="C148" s="275">
        <v>38</v>
      </c>
      <c r="D148" s="257"/>
      <c r="E148" s="258"/>
      <c r="F148" s="258"/>
      <c r="G148" s="264">
        <f t="shared" si="30"/>
        <v>95.494</v>
      </c>
      <c r="H148" s="265">
        <f>C148*100/10000</f>
        <v>0.38</v>
      </c>
      <c r="I148" s="265">
        <f>C148*30/10000</f>
        <v>0.114</v>
      </c>
      <c r="J148" s="258">
        <v>2.5</v>
      </c>
      <c r="K148" s="258">
        <f>J148*C148</f>
        <v>95</v>
      </c>
      <c r="L148" s="258"/>
      <c r="M148" s="258">
        <f>C148*0.004</f>
        <v>0.152</v>
      </c>
      <c r="N148" s="267" t="s">
        <v>406</v>
      </c>
      <c r="P148" s="284"/>
    </row>
    <row r="149" s="153" customFormat="1" ht="17.1" customHeight="1" spans="1:16">
      <c r="A149" s="281"/>
      <c r="B149" s="172" t="s">
        <v>407</v>
      </c>
      <c r="C149" s="275">
        <v>12</v>
      </c>
      <c r="D149" s="257"/>
      <c r="E149" s="258"/>
      <c r="F149" s="258"/>
      <c r="G149" s="264">
        <f t="shared" si="30"/>
        <v>26.556</v>
      </c>
      <c r="H149" s="265">
        <f t="shared" ref="H149:H159" si="36">C149*100/10000</f>
        <v>0.12</v>
      </c>
      <c r="I149" s="265">
        <f t="shared" ref="I149:I157" si="37">C149*30/10000</f>
        <v>0.036</v>
      </c>
      <c r="J149" s="258">
        <v>2.2</v>
      </c>
      <c r="K149" s="258">
        <f>J149*C149</f>
        <v>26.4</v>
      </c>
      <c r="L149" s="258"/>
      <c r="M149" s="258">
        <f t="shared" ref="M149:M159" si="38">C149*0.004</f>
        <v>0.048</v>
      </c>
      <c r="N149" s="263"/>
      <c r="P149" s="284"/>
    </row>
    <row r="150" s="153" customFormat="1" ht="17.1" customHeight="1" spans="1:16">
      <c r="A150" s="281"/>
      <c r="B150" s="172" t="s">
        <v>408</v>
      </c>
      <c r="C150" s="275">
        <v>72</v>
      </c>
      <c r="D150" s="257">
        <v>111</v>
      </c>
      <c r="E150" s="258"/>
      <c r="F150" s="258"/>
      <c r="G150" s="264">
        <f t="shared" si="30"/>
        <v>116.224</v>
      </c>
      <c r="H150" s="265">
        <f t="shared" si="36"/>
        <v>0.72</v>
      </c>
      <c r="I150" s="265">
        <f t="shared" si="37"/>
        <v>0.216</v>
      </c>
      <c r="J150" s="258">
        <v>1</v>
      </c>
      <c r="K150" s="258">
        <f>J150*C150</f>
        <v>72</v>
      </c>
      <c r="L150" s="258">
        <v>43.288</v>
      </c>
      <c r="M150" s="258">
        <f t="shared" si="38"/>
        <v>0.288</v>
      </c>
      <c r="N150" s="263"/>
      <c r="P150" s="284"/>
    </row>
    <row r="151" s="153" customFormat="1" ht="17.1" customHeight="1" spans="1:16">
      <c r="A151" s="281"/>
      <c r="B151" s="296" t="s">
        <v>409</v>
      </c>
      <c r="C151" s="275">
        <v>39</v>
      </c>
      <c r="D151" s="257">
        <v>20</v>
      </c>
      <c r="E151" s="258"/>
      <c r="F151" s="258"/>
      <c r="G151" s="264">
        <f t="shared" si="30"/>
        <v>39.507</v>
      </c>
      <c r="H151" s="265">
        <f t="shared" si="36"/>
        <v>0.39</v>
      </c>
      <c r="I151" s="265">
        <f t="shared" si="37"/>
        <v>0.117</v>
      </c>
      <c r="J151" s="258">
        <v>1</v>
      </c>
      <c r="K151" s="258">
        <f>J151*C151</f>
        <v>39</v>
      </c>
      <c r="L151" s="258"/>
      <c r="M151" s="258">
        <f t="shared" si="38"/>
        <v>0.156</v>
      </c>
      <c r="N151" s="263"/>
      <c r="P151" s="284"/>
    </row>
    <row r="152" s="153" customFormat="1" ht="17.1" customHeight="1" spans="1:16">
      <c r="A152" s="281">
        <v>84</v>
      </c>
      <c r="B152" s="169" t="s">
        <v>337</v>
      </c>
      <c r="C152" s="257">
        <f>SUM(C153:C153)</f>
        <v>44</v>
      </c>
      <c r="D152" s="257">
        <f>SUM(D153:D153)</f>
        <v>7</v>
      </c>
      <c r="E152" s="258">
        <f>SUM(E153:E153)</f>
        <v>0</v>
      </c>
      <c r="F152" s="258">
        <f>SUM(F153:F153)</f>
        <v>0</v>
      </c>
      <c r="G152" s="264">
        <f t="shared" si="30"/>
        <v>128.506</v>
      </c>
      <c r="H152" s="265">
        <f t="shared" si="36"/>
        <v>0.44</v>
      </c>
      <c r="I152" s="265">
        <f t="shared" si="37"/>
        <v>0.132</v>
      </c>
      <c r="J152" s="258"/>
      <c r="K152" s="258">
        <f>SUM(K153:K153)</f>
        <v>110</v>
      </c>
      <c r="L152" s="258">
        <f>SUM(L153:L153)</f>
        <v>17.934</v>
      </c>
      <c r="M152" s="258">
        <f t="shared" si="38"/>
        <v>0.176</v>
      </c>
      <c r="N152" s="263"/>
      <c r="P152" s="284"/>
    </row>
    <row r="153" s="153" customFormat="1" ht="17.1" customHeight="1" spans="1:16">
      <c r="A153" s="281">
        <v>86</v>
      </c>
      <c r="B153" s="172" t="s">
        <v>338</v>
      </c>
      <c r="C153" s="257">
        <v>44</v>
      </c>
      <c r="D153" s="257">
        <v>7</v>
      </c>
      <c r="E153" s="258"/>
      <c r="F153" s="258"/>
      <c r="G153" s="264">
        <f t="shared" si="30"/>
        <v>128.506</v>
      </c>
      <c r="H153" s="265">
        <f t="shared" si="36"/>
        <v>0.44</v>
      </c>
      <c r="I153" s="265">
        <f t="shared" si="37"/>
        <v>0.132</v>
      </c>
      <c r="J153" s="258">
        <v>2.5</v>
      </c>
      <c r="K153" s="258">
        <f>J153*C153</f>
        <v>110</v>
      </c>
      <c r="L153" s="258">
        <v>17.934</v>
      </c>
      <c r="M153" s="258">
        <f t="shared" si="38"/>
        <v>0.176</v>
      </c>
      <c r="N153" s="263"/>
      <c r="P153" s="284"/>
    </row>
    <row r="154" s="153" customFormat="1" ht="17.1" customHeight="1" spans="1:16">
      <c r="A154" s="281"/>
      <c r="B154" s="222" t="s">
        <v>339</v>
      </c>
      <c r="C154" s="290">
        <f>C155+C156</f>
        <v>24</v>
      </c>
      <c r="D154" s="290">
        <f>D155+D156</f>
        <v>36</v>
      </c>
      <c r="E154" s="99">
        <f>E155+E156</f>
        <v>0</v>
      </c>
      <c r="F154" s="99">
        <f>F155+F156</f>
        <v>0</v>
      </c>
      <c r="G154" s="264">
        <f t="shared" si="30"/>
        <v>43.85</v>
      </c>
      <c r="H154" s="265">
        <f t="shared" si="36"/>
        <v>0.24</v>
      </c>
      <c r="I154" s="265">
        <f t="shared" si="37"/>
        <v>0.072</v>
      </c>
      <c r="J154" s="99"/>
      <c r="K154" s="99">
        <f>K155+K156</f>
        <v>27.5</v>
      </c>
      <c r="L154" s="99">
        <f>L155+L156</f>
        <v>16.038</v>
      </c>
      <c r="M154" s="258">
        <f t="shared" si="38"/>
        <v>0.096</v>
      </c>
      <c r="N154" s="281"/>
      <c r="P154" s="284"/>
    </row>
    <row r="155" s="153" customFormat="1" ht="17.1" customHeight="1" spans="1:16">
      <c r="A155" s="281"/>
      <c r="B155" s="127" t="s">
        <v>410</v>
      </c>
      <c r="C155" s="290">
        <v>7</v>
      </c>
      <c r="D155" s="290">
        <v>13</v>
      </c>
      <c r="E155" s="99"/>
      <c r="F155" s="99"/>
      <c r="G155" s="264">
        <f t="shared" si="30"/>
        <v>15.271</v>
      </c>
      <c r="H155" s="265">
        <f t="shared" si="36"/>
        <v>0.07</v>
      </c>
      <c r="I155" s="265">
        <f t="shared" si="37"/>
        <v>0.021</v>
      </c>
      <c r="J155" s="99">
        <v>1.5</v>
      </c>
      <c r="K155" s="258">
        <f>J155*C155</f>
        <v>10.5</v>
      </c>
      <c r="L155" s="258">
        <v>4.68</v>
      </c>
      <c r="M155" s="258">
        <f t="shared" si="38"/>
        <v>0.028</v>
      </c>
      <c r="N155" s="263"/>
      <c r="P155" s="284"/>
    </row>
    <row r="156" s="153" customFormat="1" ht="17.1" customHeight="1" spans="1:16">
      <c r="A156" s="281"/>
      <c r="B156" s="127" t="s">
        <v>411</v>
      </c>
      <c r="C156" s="290">
        <v>17</v>
      </c>
      <c r="D156" s="290">
        <v>23</v>
      </c>
      <c r="E156" s="99"/>
      <c r="F156" s="99"/>
      <c r="G156" s="264">
        <f t="shared" si="30"/>
        <v>28.579</v>
      </c>
      <c r="H156" s="265">
        <f t="shared" si="36"/>
        <v>0.17</v>
      </c>
      <c r="I156" s="265">
        <f t="shared" si="37"/>
        <v>0.051</v>
      </c>
      <c r="J156" s="99">
        <v>1</v>
      </c>
      <c r="K156" s="258">
        <f>J156*C156</f>
        <v>17</v>
      </c>
      <c r="L156" s="258">
        <v>11.358</v>
      </c>
      <c r="M156" s="258">
        <f t="shared" si="38"/>
        <v>0.068</v>
      </c>
      <c r="N156" s="267"/>
      <c r="P156" s="284"/>
    </row>
    <row r="157" s="153" customFormat="1" ht="17.1" customHeight="1" spans="1:16">
      <c r="A157" s="281"/>
      <c r="B157" s="222" t="s">
        <v>342</v>
      </c>
      <c r="C157" s="290">
        <f>C158+C162</f>
        <v>197</v>
      </c>
      <c r="D157" s="290">
        <f>D158</f>
        <v>79</v>
      </c>
      <c r="E157" s="99">
        <f>E158</f>
        <v>0</v>
      </c>
      <c r="F157" s="99">
        <f>F158</f>
        <v>0</v>
      </c>
      <c r="G157" s="264">
        <f t="shared" si="30"/>
        <v>221.537</v>
      </c>
      <c r="H157" s="265">
        <f t="shared" si="36"/>
        <v>1.97</v>
      </c>
      <c r="I157" s="265">
        <f t="shared" si="37"/>
        <v>0.591</v>
      </c>
      <c r="J157" s="99"/>
      <c r="K157" s="258">
        <f>K158+K162</f>
        <v>201</v>
      </c>
      <c r="L157" s="99">
        <f>L158</f>
        <v>17.976</v>
      </c>
      <c r="M157" s="258">
        <f t="shared" si="38"/>
        <v>0.788</v>
      </c>
      <c r="N157" s="263"/>
      <c r="P157" s="284"/>
    </row>
    <row r="158" s="153" customFormat="1" ht="17.1" customHeight="1" spans="1:16">
      <c r="A158" s="281"/>
      <c r="B158" s="196" t="s">
        <v>412</v>
      </c>
      <c r="C158" s="290">
        <f>SUM(C159:C161)</f>
        <v>194</v>
      </c>
      <c r="D158" s="290">
        <f>SUM(D159:D161)</f>
        <v>79</v>
      </c>
      <c r="E158" s="99">
        <f>SUM(E159:E161)</f>
        <v>0</v>
      </c>
      <c r="F158" s="99">
        <f>SUM(F159:F161)</f>
        <v>0</v>
      </c>
      <c r="G158" s="264">
        <f t="shared" si="30"/>
        <v>215.498</v>
      </c>
      <c r="H158" s="265">
        <f t="shared" si="36"/>
        <v>1.94</v>
      </c>
      <c r="I158" s="99">
        <f>SUM(I159:I161)</f>
        <v>0.582</v>
      </c>
      <c r="J158" s="99"/>
      <c r="K158" s="99">
        <f>SUM(K159:K161)</f>
        <v>195</v>
      </c>
      <c r="L158" s="99">
        <f>SUM(L159:L161)</f>
        <v>17.976</v>
      </c>
      <c r="M158" s="258">
        <f t="shared" si="38"/>
        <v>0.776</v>
      </c>
      <c r="N158" s="263"/>
      <c r="P158" s="284"/>
    </row>
    <row r="159" s="153" customFormat="1" ht="17.1" customHeight="1" spans="1:16">
      <c r="A159" s="281"/>
      <c r="B159" s="172" t="s">
        <v>344</v>
      </c>
      <c r="C159" s="297">
        <v>163</v>
      </c>
      <c r="D159" s="290">
        <v>73</v>
      </c>
      <c r="E159" s="99"/>
      <c r="F159" s="99"/>
      <c r="G159" s="264">
        <f t="shared" si="30"/>
        <v>183.095</v>
      </c>
      <c r="H159" s="265">
        <f t="shared" si="36"/>
        <v>1.63</v>
      </c>
      <c r="I159" s="265">
        <f>C159*30/10000</f>
        <v>0.489</v>
      </c>
      <c r="J159" s="99">
        <v>1</v>
      </c>
      <c r="K159" s="258">
        <f>J159*C159</f>
        <v>163</v>
      </c>
      <c r="L159" s="258">
        <v>17.976</v>
      </c>
      <c r="M159" s="258">
        <f t="shared" si="38"/>
        <v>0.652</v>
      </c>
      <c r="N159" s="263"/>
      <c r="P159" s="284"/>
    </row>
    <row r="160" s="153" customFormat="1" ht="17.1" customHeight="1" spans="1:16">
      <c r="A160" s="281"/>
      <c r="B160" s="182" t="s">
        <v>345</v>
      </c>
      <c r="C160" s="275">
        <v>14</v>
      </c>
      <c r="D160" s="257">
        <v>1</v>
      </c>
      <c r="E160" s="258"/>
      <c r="F160" s="258"/>
      <c r="G160" s="264">
        <f t="shared" si="30"/>
        <v>15.182</v>
      </c>
      <c r="H160" s="265">
        <f t="shared" ref="H160:H164" si="39">C160*100/10000</f>
        <v>0.14</v>
      </c>
      <c r="I160" s="265">
        <f t="shared" ref="I160:I164" si="40">C160*30/10000</f>
        <v>0.042</v>
      </c>
      <c r="J160" s="258"/>
      <c r="K160" s="258">
        <v>15</v>
      </c>
      <c r="L160" s="258"/>
      <c r="M160" s="258">
        <f t="shared" ref="M160:M164" si="41">C160*0.004</f>
        <v>0.056</v>
      </c>
      <c r="N160" s="263"/>
      <c r="P160" s="284"/>
    </row>
    <row r="161" s="153" customFormat="1" ht="17.1" customHeight="1" spans="1:16">
      <c r="A161" s="281"/>
      <c r="B161" s="182" t="s">
        <v>346</v>
      </c>
      <c r="C161" s="275">
        <v>17</v>
      </c>
      <c r="D161" s="257">
        <v>5</v>
      </c>
      <c r="E161" s="258"/>
      <c r="F161" s="258"/>
      <c r="G161" s="264">
        <f t="shared" si="30"/>
        <v>17.221</v>
      </c>
      <c r="H161" s="265">
        <f t="shared" si="39"/>
        <v>0.17</v>
      </c>
      <c r="I161" s="265">
        <f t="shared" si="40"/>
        <v>0.051</v>
      </c>
      <c r="J161" s="258">
        <v>1</v>
      </c>
      <c r="K161" s="258">
        <f>J161*C161</f>
        <v>17</v>
      </c>
      <c r="L161" s="258"/>
      <c r="M161" s="258">
        <f t="shared" si="41"/>
        <v>0.068</v>
      </c>
      <c r="N161" s="263"/>
      <c r="P161" s="284"/>
    </row>
    <row r="162" s="153" customFormat="1" ht="17.1" customHeight="1" spans="1:16">
      <c r="A162" s="281"/>
      <c r="B162" s="172" t="s">
        <v>413</v>
      </c>
      <c r="C162" s="297">
        <v>3</v>
      </c>
      <c r="D162" s="290"/>
      <c r="E162" s="99"/>
      <c r="F162" s="99"/>
      <c r="G162" s="264">
        <f t="shared" si="30"/>
        <v>6.039</v>
      </c>
      <c r="H162" s="265">
        <f t="shared" si="39"/>
        <v>0.03</v>
      </c>
      <c r="I162" s="265">
        <f t="shared" si="40"/>
        <v>0.009</v>
      </c>
      <c r="J162" s="99">
        <v>2</v>
      </c>
      <c r="K162" s="258">
        <f>J162*C162</f>
        <v>6</v>
      </c>
      <c r="L162" s="258"/>
      <c r="M162" s="258">
        <f t="shared" si="41"/>
        <v>0.012</v>
      </c>
      <c r="N162" s="263"/>
      <c r="P162" s="284"/>
    </row>
    <row r="163" s="153" customFormat="1" ht="17.1" customHeight="1" spans="1:16">
      <c r="A163" s="281"/>
      <c r="B163" s="222" t="s">
        <v>348</v>
      </c>
      <c r="C163" s="290">
        <f>C164</f>
        <v>8</v>
      </c>
      <c r="D163" s="290">
        <f>D164</f>
        <v>13</v>
      </c>
      <c r="E163" s="99">
        <f>E164</f>
        <v>0</v>
      </c>
      <c r="F163" s="99">
        <f>F164</f>
        <v>0</v>
      </c>
      <c r="G163" s="264">
        <f t="shared" si="30"/>
        <v>17.437</v>
      </c>
      <c r="H163" s="265">
        <f t="shared" si="39"/>
        <v>0.08</v>
      </c>
      <c r="I163" s="265">
        <f t="shared" si="40"/>
        <v>0.024</v>
      </c>
      <c r="J163" s="99">
        <v>1.5</v>
      </c>
      <c r="K163" s="99">
        <f>K164</f>
        <v>12</v>
      </c>
      <c r="L163" s="99">
        <f>L164</f>
        <v>5.333</v>
      </c>
      <c r="M163" s="258">
        <f t="shared" si="41"/>
        <v>0.032</v>
      </c>
      <c r="N163" s="263"/>
      <c r="P163" s="284"/>
    </row>
    <row r="164" s="153" customFormat="1" ht="17.1" customHeight="1" spans="1:16">
      <c r="A164" s="281"/>
      <c r="B164" s="195" t="s">
        <v>414</v>
      </c>
      <c r="C164" s="290">
        <v>8</v>
      </c>
      <c r="D164" s="290">
        <v>13</v>
      </c>
      <c r="E164" s="99"/>
      <c r="F164" s="99"/>
      <c r="G164" s="264">
        <f t="shared" si="30"/>
        <v>17.437</v>
      </c>
      <c r="H164" s="265">
        <f t="shared" si="39"/>
        <v>0.08</v>
      </c>
      <c r="I164" s="265">
        <f t="shared" si="40"/>
        <v>0.024</v>
      </c>
      <c r="J164" s="99">
        <v>1.5</v>
      </c>
      <c r="K164" s="258">
        <f>J164*C164</f>
        <v>12</v>
      </c>
      <c r="L164" s="258">
        <v>5.333</v>
      </c>
      <c r="M164" s="258">
        <f t="shared" si="41"/>
        <v>0.032</v>
      </c>
      <c r="N164" s="267"/>
      <c r="P164" s="284"/>
    </row>
    <row r="165" s="153" customFormat="1" spans="1:16">
      <c r="A165" s="281"/>
      <c r="B165" s="154"/>
      <c r="C165" s="228"/>
      <c r="D165" s="228"/>
      <c r="E165" s="155"/>
      <c r="F165" s="155"/>
      <c r="G165" s="155"/>
      <c r="H165" s="155"/>
      <c r="I165" s="155"/>
      <c r="J165" s="155"/>
      <c r="K165" s="155"/>
      <c r="L165" s="155"/>
      <c r="M165" s="155"/>
      <c r="P165" s="284"/>
    </row>
    <row r="166" s="153" customFormat="1" spans="1:16">
      <c r="A166" s="281"/>
      <c r="B166" s="154"/>
      <c r="C166" s="228"/>
      <c r="D166" s="228"/>
      <c r="E166" s="155"/>
      <c r="F166" s="155"/>
      <c r="G166" s="155"/>
      <c r="H166" s="155"/>
      <c r="I166" s="155"/>
      <c r="J166" s="155"/>
      <c r="K166" s="155"/>
      <c r="L166" s="155"/>
      <c r="M166" s="155"/>
      <c r="P166" s="284"/>
    </row>
    <row r="167" s="153" customFormat="1" spans="1:16">
      <c r="A167" s="281"/>
      <c r="B167" s="154"/>
      <c r="C167" s="228"/>
      <c r="D167" s="228"/>
      <c r="E167" s="155"/>
      <c r="F167" s="155"/>
      <c r="G167" s="155"/>
      <c r="H167" s="155"/>
      <c r="I167" s="155"/>
      <c r="J167" s="155"/>
      <c r="K167" s="155"/>
      <c r="L167" s="155"/>
      <c r="M167" s="155"/>
      <c r="P167" s="284"/>
    </row>
    <row r="168" s="153" customFormat="1" spans="1:16">
      <c r="A168" s="281"/>
      <c r="B168" s="154"/>
      <c r="C168" s="228"/>
      <c r="D168" s="228"/>
      <c r="E168" s="155"/>
      <c r="F168" s="155"/>
      <c r="G168" s="155"/>
      <c r="H168" s="155"/>
      <c r="I168" s="155"/>
      <c r="J168" s="155"/>
      <c r="K168" s="155"/>
      <c r="L168" s="155"/>
      <c r="M168" s="155"/>
      <c r="P168" s="284"/>
    </row>
    <row r="169" s="153" customFormat="1" spans="1:16">
      <c r="A169" s="281"/>
      <c r="B169" s="154"/>
      <c r="C169" s="228"/>
      <c r="D169" s="228"/>
      <c r="E169" s="155"/>
      <c r="F169" s="155"/>
      <c r="G169" s="155"/>
      <c r="H169" s="155"/>
      <c r="I169" s="155"/>
      <c r="J169" s="155"/>
      <c r="K169" s="155"/>
      <c r="L169" s="155"/>
      <c r="M169" s="155"/>
      <c r="P169" s="284"/>
    </row>
    <row r="170" s="153" customFormat="1" spans="1:16">
      <c r="A170" s="281"/>
      <c r="B170" s="154"/>
      <c r="C170" s="228"/>
      <c r="D170" s="228"/>
      <c r="E170" s="155"/>
      <c r="F170" s="155"/>
      <c r="G170" s="155"/>
      <c r="H170" s="155"/>
      <c r="I170" s="155"/>
      <c r="J170" s="155"/>
      <c r="K170" s="155"/>
      <c r="L170" s="155"/>
      <c r="M170" s="155"/>
      <c r="P170" s="284"/>
    </row>
    <row r="171" s="153" customFormat="1" spans="1:16">
      <c r="A171" s="281"/>
      <c r="B171" s="154"/>
      <c r="C171" s="228"/>
      <c r="D171" s="228"/>
      <c r="E171" s="155"/>
      <c r="F171" s="155"/>
      <c r="G171" s="155"/>
      <c r="H171" s="155"/>
      <c r="I171" s="155"/>
      <c r="J171" s="155"/>
      <c r="K171" s="155"/>
      <c r="L171" s="155"/>
      <c r="M171" s="155"/>
      <c r="P171" s="284"/>
    </row>
    <row r="172" s="153" customFormat="1" spans="1:16">
      <c r="A172" s="281"/>
      <c r="B172" s="154"/>
      <c r="C172" s="228"/>
      <c r="D172" s="228"/>
      <c r="E172" s="155"/>
      <c r="F172" s="155"/>
      <c r="G172" s="155"/>
      <c r="H172" s="155"/>
      <c r="I172" s="155"/>
      <c r="J172" s="155"/>
      <c r="K172" s="155"/>
      <c r="L172" s="155"/>
      <c r="M172" s="155"/>
      <c r="P172" s="284"/>
    </row>
    <row r="173" s="153" customFormat="1" spans="1:16">
      <c r="A173" s="281"/>
      <c r="B173" s="154"/>
      <c r="C173" s="228"/>
      <c r="D173" s="228"/>
      <c r="E173" s="155"/>
      <c r="F173" s="155"/>
      <c r="G173" s="155"/>
      <c r="H173" s="155"/>
      <c r="I173" s="155"/>
      <c r="J173" s="155"/>
      <c r="K173" s="155"/>
      <c r="L173" s="155"/>
      <c r="M173" s="155"/>
      <c r="P173" s="284"/>
    </row>
    <row r="174" s="153" customFormat="1" spans="1:16">
      <c r="A174" s="281"/>
      <c r="B174" s="154"/>
      <c r="C174" s="228"/>
      <c r="D174" s="228"/>
      <c r="E174" s="155"/>
      <c r="F174" s="155"/>
      <c r="G174" s="155"/>
      <c r="H174" s="155"/>
      <c r="I174" s="155"/>
      <c r="J174" s="155"/>
      <c r="K174" s="155"/>
      <c r="L174" s="155"/>
      <c r="M174" s="155"/>
      <c r="P174" s="284"/>
    </row>
    <row r="175" s="153" customFormat="1" spans="1:16">
      <c r="A175" s="281"/>
      <c r="B175" s="154"/>
      <c r="C175" s="228"/>
      <c r="D175" s="228"/>
      <c r="E175" s="155"/>
      <c r="F175" s="155"/>
      <c r="G175" s="155"/>
      <c r="H175" s="155"/>
      <c r="I175" s="155"/>
      <c r="J175" s="155"/>
      <c r="K175" s="155"/>
      <c r="L175" s="155"/>
      <c r="M175" s="155"/>
      <c r="P175" s="284"/>
    </row>
    <row r="176" s="153" customFormat="1" spans="1:16">
      <c r="A176" s="281"/>
      <c r="B176" s="154"/>
      <c r="C176" s="228"/>
      <c r="D176" s="228"/>
      <c r="E176" s="155"/>
      <c r="F176" s="155"/>
      <c r="G176" s="155"/>
      <c r="H176" s="155"/>
      <c r="I176" s="155"/>
      <c r="J176" s="155"/>
      <c r="K176" s="155"/>
      <c r="L176" s="155"/>
      <c r="M176" s="155"/>
      <c r="P176" s="284"/>
    </row>
    <row r="177" s="153" customFormat="1" spans="1:16">
      <c r="A177" s="281"/>
      <c r="B177" s="154"/>
      <c r="C177" s="228"/>
      <c r="D177" s="228"/>
      <c r="E177" s="155"/>
      <c r="F177" s="155"/>
      <c r="G177" s="155"/>
      <c r="H177" s="155"/>
      <c r="I177" s="155"/>
      <c r="J177" s="155"/>
      <c r="K177" s="155"/>
      <c r="L177" s="155"/>
      <c r="M177" s="155"/>
      <c r="P177" s="284"/>
    </row>
    <row r="178" s="153" customFormat="1" spans="1:16">
      <c r="A178" s="281"/>
      <c r="B178" s="154"/>
      <c r="C178" s="228"/>
      <c r="D178" s="228"/>
      <c r="E178" s="155"/>
      <c r="F178" s="155"/>
      <c r="G178" s="155"/>
      <c r="H178" s="155"/>
      <c r="I178" s="155"/>
      <c r="J178" s="155"/>
      <c r="K178" s="155"/>
      <c r="L178" s="155"/>
      <c r="M178" s="155"/>
      <c r="P178" s="284"/>
    </row>
    <row r="179" s="153" customFormat="1" spans="1:16">
      <c r="A179" s="281"/>
      <c r="B179" s="154"/>
      <c r="C179" s="228"/>
      <c r="D179" s="228"/>
      <c r="E179" s="155"/>
      <c r="F179" s="155"/>
      <c r="G179" s="155"/>
      <c r="H179" s="155"/>
      <c r="I179" s="155"/>
      <c r="J179" s="155"/>
      <c r="K179" s="155"/>
      <c r="L179" s="155"/>
      <c r="M179" s="155"/>
      <c r="P179" s="284"/>
    </row>
    <row r="180" s="153" customFormat="1" spans="1:16">
      <c r="A180" s="281"/>
      <c r="B180" s="154"/>
      <c r="C180" s="228"/>
      <c r="D180" s="228"/>
      <c r="E180" s="155"/>
      <c r="F180" s="155"/>
      <c r="G180" s="155"/>
      <c r="H180" s="155"/>
      <c r="I180" s="155"/>
      <c r="J180" s="155"/>
      <c r="K180" s="155"/>
      <c r="L180" s="155"/>
      <c r="M180" s="155"/>
      <c r="P180" s="284"/>
    </row>
    <row r="181" s="153" customFormat="1" spans="1:16">
      <c r="A181" s="281"/>
      <c r="B181" s="154"/>
      <c r="C181" s="228"/>
      <c r="D181" s="228"/>
      <c r="E181" s="155"/>
      <c r="F181" s="155"/>
      <c r="G181" s="155"/>
      <c r="H181" s="155"/>
      <c r="I181" s="155"/>
      <c r="J181" s="155"/>
      <c r="K181" s="155"/>
      <c r="L181" s="155"/>
      <c r="M181" s="155"/>
      <c r="P181" s="284"/>
    </row>
    <row r="182" s="153" customFormat="1" spans="1:16">
      <c r="A182" s="281"/>
      <c r="B182" s="154"/>
      <c r="C182" s="228"/>
      <c r="D182" s="228"/>
      <c r="E182" s="155"/>
      <c r="F182" s="155"/>
      <c r="G182" s="155"/>
      <c r="H182" s="155"/>
      <c r="I182" s="155"/>
      <c r="J182" s="155"/>
      <c r="K182" s="155"/>
      <c r="L182" s="155"/>
      <c r="M182" s="155"/>
      <c r="P182" s="284"/>
    </row>
    <row r="183" s="153" customFormat="1" spans="1:16">
      <c r="A183" s="281"/>
      <c r="B183" s="154"/>
      <c r="C183" s="228"/>
      <c r="D183" s="228"/>
      <c r="E183" s="155"/>
      <c r="F183" s="155"/>
      <c r="G183" s="155"/>
      <c r="H183" s="155"/>
      <c r="I183" s="155"/>
      <c r="J183" s="155"/>
      <c r="K183" s="155"/>
      <c r="L183" s="155"/>
      <c r="M183" s="155"/>
      <c r="P183" s="284"/>
    </row>
    <row r="184" s="153" customFormat="1" spans="1:16">
      <c r="A184" s="281"/>
      <c r="B184" s="154"/>
      <c r="C184" s="228"/>
      <c r="D184" s="228"/>
      <c r="E184" s="155"/>
      <c r="F184" s="155"/>
      <c r="G184" s="155"/>
      <c r="H184" s="155"/>
      <c r="I184" s="155"/>
      <c r="J184" s="155"/>
      <c r="K184" s="155"/>
      <c r="L184" s="155"/>
      <c r="M184" s="155"/>
      <c r="P184" s="284"/>
    </row>
  </sheetData>
  <mergeCells count="12">
    <mergeCell ref="B1:M1"/>
    <mergeCell ref="L2:M2"/>
    <mergeCell ref="G3:L3"/>
    <mergeCell ref="J4:K4"/>
    <mergeCell ref="B3:B5"/>
    <mergeCell ref="G4:G5"/>
    <mergeCell ref="H4:H5"/>
    <mergeCell ref="I4:I5"/>
    <mergeCell ref="L4:L5"/>
    <mergeCell ref="M3:M5"/>
    <mergeCell ref="N41:P42"/>
    <mergeCell ref="C3:F4"/>
  </mergeCells>
  <dataValidations count="2">
    <dataValidation type="whole" operator="between" allowBlank="1" showInputMessage="1" showErrorMessage="1" error="请输入整数！" sqref="N7 N36 N43 N119 N129">
      <formula1>-100000000</formula1>
      <formula2>100000000</formula2>
    </dataValidation>
    <dataValidation type="whole" operator="between" allowBlank="1" showInputMessage="1" showErrorMessage="1" sqref="V19">
      <formula1>-1000000</formula1>
      <formula2>1000000</formula2>
    </dataValidation>
  </dataValidations>
  <pageMargins left="0.865277777777778" right="0.196527777777778" top="0.471527777777778" bottom="0.354166666666667" header="0.15625" footer="0.15625"/>
  <pageSetup paperSize="9" orientation="landscape"/>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7"/>
  <sheetViews>
    <sheetView workbookViewId="0">
      <pane xSplit="1" ySplit="4" topLeftCell="B210" activePane="bottomRight" state="frozen"/>
      <selection/>
      <selection pane="topRight"/>
      <selection pane="bottomLeft"/>
      <selection pane="bottomRight" activeCell="A222" sqref="A222"/>
    </sheetView>
  </sheetViews>
  <sheetFormatPr defaultColWidth="9" defaultRowHeight="15.75" outlineLevelCol="7"/>
  <cols>
    <col min="1" max="1" width="44.625" style="154" customWidth="1"/>
    <col min="2" max="2" width="12" style="154" customWidth="1"/>
    <col min="3" max="4" width="10.625" style="155" customWidth="1"/>
    <col min="5" max="5" width="9.5" style="155" customWidth="1"/>
    <col min="6" max="6" width="66.75" customWidth="1"/>
    <col min="7" max="7" width="15.125" style="156" customWidth="1"/>
    <col min="8" max="8" width="9.25" style="157"/>
  </cols>
  <sheetData>
    <row r="1" ht="24.75" customHeight="1" spans="1:8">
      <c r="A1" s="158" t="s">
        <v>415</v>
      </c>
      <c r="B1" s="158"/>
      <c r="C1" s="158"/>
      <c r="D1" s="158"/>
      <c r="E1" s="158"/>
      <c r="F1" s="158"/>
    </row>
    <row r="2" ht="18" customHeight="1" spans="1:8">
      <c r="A2" s="159"/>
      <c r="B2" s="159"/>
      <c r="F2" s="160" t="s">
        <v>416</v>
      </c>
    </row>
    <row r="3" ht="48" customHeight="1" spans="1:8">
      <c r="A3" s="161" t="s">
        <v>417</v>
      </c>
      <c r="B3" s="162" t="s">
        <v>418</v>
      </c>
      <c r="C3" s="162" t="s">
        <v>419</v>
      </c>
      <c r="D3" s="162" t="s">
        <v>420</v>
      </c>
      <c r="E3" s="162" t="s">
        <v>421</v>
      </c>
      <c r="F3" s="162" t="s">
        <v>422</v>
      </c>
      <c r="H3" s="163" t="s">
        <v>423</v>
      </c>
    </row>
    <row r="4" s="152" customFormat="1" ht="18" customHeight="1" spans="1:8">
      <c r="A4" s="164" t="s">
        <v>424</v>
      </c>
      <c r="B4" s="165">
        <f>B5+B248+B273+B321+B329+B367+B398+B451+B466+B544+B557+B565+B573+B579+B600+B601+B602+B443+B582</f>
        <v>119579.29</v>
      </c>
      <c r="C4" s="165">
        <f>C5+C248+C273+C321+C329+C367+C398+C451+C466+C544+C557+C565+C573+C579+C600+C601+C602+C443+C582</f>
        <v>121974.49</v>
      </c>
      <c r="D4" s="165">
        <f>D5+D248+D273+D321+D329+D367+D398+D451+D466+D544+D557+D565+D573+D579+D600+D601+D602+D443+D582</f>
        <v>-2395.2</v>
      </c>
      <c r="E4" s="166">
        <f t="shared" ref="E4:E23" si="0">D4/C4*100</f>
        <v>-1.96368929273654</v>
      </c>
      <c r="F4" s="167"/>
      <c r="G4" s="156"/>
      <c r="H4" s="168"/>
    </row>
    <row r="5" s="152" customFormat="1" ht="18" customHeight="1" spans="1:8">
      <c r="A5" s="169" t="s">
        <v>13</v>
      </c>
      <c r="B5" s="170">
        <f>B6+B25+B41+B68+B72+B86+B100+B101+B102+B109+B118+B128+B129+B137+B213+B217</f>
        <v>17627</v>
      </c>
      <c r="C5" s="170">
        <f>C6+C25+C41+C68+C72+C86+C100+C101+C102+C109+C118+C128+C129+C137+C213+C217</f>
        <v>19898.8</v>
      </c>
      <c r="D5" s="170">
        <f>D6+D25+D41+D68+D72+D86+D100+D101+D102+D109+D118+D128+D129+D137+D213+D217</f>
        <v>-2271.8</v>
      </c>
      <c r="E5" s="166">
        <f t="shared" si="0"/>
        <v>-11.4167688503829</v>
      </c>
      <c r="F5" s="171"/>
      <c r="G5" s="156"/>
      <c r="H5" s="168">
        <f>SUM(H6:H617)</f>
        <v>4392.89</v>
      </c>
    </row>
    <row r="6" ht="18" customHeight="1" spans="1:8">
      <c r="A6" s="172" t="s">
        <v>425</v>
      </c>
      <c r="B6" s="99">
        <f>SUM(B7:B24)</f>
        <v>606</v>
      </c>
      <c r="C6" s="99">
        <f>SUM(C7:C24)</f>
        <v>763.8</v>
      </c>
      <c r="D6" s="99">
        <f>SUM(D7:D24)</f>
        <v>-157.8</v>
      </c>
      <c r="E6" s="166">
        <f t="shared" si="0"/>
        <v>-20.6598586017282</v>
      </c>
      <c r="F6" s="173"/>
      <c r="H6" s="157">
        <v>147.8</v>
      </c>
    </row>
    <row r="7" ht="18" customHeight="1" spans="1:8">
      <c r="A7" s="172" t="s">
        <v>426</v>
      </c>
      <c r="B7" s="99">
        <v>26.8</v>
      </c>
      <c r="C7" s="99">
        <v>26.8</v>
      </c>
      <c r="D7" s="99">
        <f t="shared" ref="D7:D23" si="1">B7-C7</f>
        <v>0</v>
      </c>
      <c r="E7" s="166">
        <f t="shared" si="0"/>
        <v>0</v>
      </c>
      <c r="F7" s="173" t="s">
        <v>427</v>
      </c>
    </row>
    <row r="8" ht="18" customHeight="1" spans="1:8">
      <c r="A8" s="172" t="s">
        <v>428</v>
      </c>
      <c r="B8" s="99">
        <v>28</v>
      </c>
      <c r="C8" s="99">
        <v>28</v>
      </c>
      <c r="D8" s="99">
        <f t="shared" si="1"/>
        <v>0</v>
      </c>
      <c r="E8" s="166">
        <f t="shared" si="0"/>
        <v>0</v>
      </c>
      <c r="F8" s="173" t="s">
        <v>429</v>
      </c>
    </row>
    <row r="9" ht="18" customHeight="1" spans="1:8">
      <c r="A9" s="172" t="s">
        <v>430</v>
      </c>
      <c r="B9" s="99">
        <f>C9*0.8</f>
        <v>4</v>
      </c>
      <c r="C9" s="99">
        <v>5</v>
      </c>
      <c r="D9" s="99">
        <f t="shared" si="1"/>
        <v>-1</v>
      </c>
      <c r="E9" s="166">
        <f t="shared" si="0"/>
        <v>-20</v>
      </c>
      <c r="F9" s="173"/>
    </row>
    <row r="10" ht="18" customHeight="1" spans="1:8">
      <c r="A10" s="172" t="s">
        <v>431</v>
      </c>
      <c r="B10" s="99">
        <f t="shared" ref="B10:B24" si="2">C10*0.8</f>
        <v>20</v>
      </c>
      <c r="C10" s="99">
        <v>25</v>
      </c>
      <c r="D10" s="99">
        <f t="shared" si="1"/>
        <v>-5</v>
      </c>
      <c r="E10" s="166">
        <f t="shared" si="0"/>
        <v>-20</v>
      </c>
      <c r="F10" s="173"/>
    </row>
    <row r="11" ht="18" customHeight="1" spans="1:8">
      <c r="A11" s="172" t="s">
        <v>432</v>
      </c>
      <c r="B11" s="99">
        <f t="shared" si="2"/>
        <v>20</v>
      </c>
      <c r="C11" s="99">
        <v>25</v>
      </c>
      <c r="D11" s="99">
        <f t="shared" si="1"/>
        <v>-5</v>
      </c>
      <c r="E11" s="166">
        <f t="shared" si="0"/>
        <v>-20</v>
      </c>
      <c r="F11" s="173" t="s">
        <v>433</v>
      </c>
    </row>
    <row r="12" ht="18" customHeight="1" spans="1:8">
      <c r="A12" s="172" t="s">
        <v>434</v>
      </c>
      <c r="B12" s="99">
        <f t="shared" si="2"/>
        <v>8</v>
      </c>
      <c r="C12" s="99">
        <v>10</v>
      </c>
      <c r="D12" s="99">
        <f t="shared" si="1"/>
        <v>-2</v>
      </c>
      <c r="E12" s="166">
        <f t="shared" si="0"/>
        <v>-20</v>
      </c>
      <c r="F12" s="173"/>
    </row>
    <row r="13" ht="18" customHeight="1" spans="1:8">
      <c r="A13" s="172" t="s">
        <v>435</v>
      </c>
      <c r="B13" s="99">
        <f t="shared" si="2"/>
        <v>8</v>
      </c>
      <c r="C13" s="99">
        <v>10</v>
      </c>
      <c r="D13" s="99">
        <f t="shared" si="1"/>
        <v>-2</v>
      </c>
      <c r="E13" s="166">
        <f t="shared" si="0"/>
        <v>-20</v>
      </c>
      <c r="F13" s="173"/>
    </row>
    <row r="14" ht="18" customHeight="1" spans="1:8">
      <c r="A14" s="172" t="s">
        <v>436</v>
      </c>
      <c r="B14" s="99">
        <f t="shared" si="2"/>
        <v>8</v>
      </c>
      <c r="C14" s="99">
        <v>10</v>
      </c>
      <c r="D14" s="99">
        <f t="shared" si="1"/>
        <v>-2</v>
      </c>
      <c r="E14" s="166">
        <f t="shared" si="0"/>
        <v>-20</v>
      </c>
      <c r="F14" s="173"/>
    </row>
    <row r="15" ht="18" customHeight="1" spans="1:8">
      <c r="A15" s="172" t="s">
        <v>437</v>
      </c>
      <c r="B15" s="99">
        <f t="shared" si="2"/>
        <v>8</v>
      </c>
      <c r="C15" s="99">
        <v>10</v>
      </c>
      <c r="D15" s="99">
        <f t="shared" si="1"/>
        <v>-2</v>
      </c>
      <c r="E15" s="166">
        <f t="shared" si="0"/>
        <v>-20</v>
      </c>
      <c r="F15" s="173"/>
    </row>
    <row r="16" ht="18" customHeight="1" spans="1:8">
      <c r="A16" s="172" t="s">
        <v>438</v>
      </c>
      <c r="B16" s="99">
        <f t="shared" si="2"/>
        <v>16</v>
      </c>
      <c r="C16" s="99">
        <v>20</v>
      </c>
      <c r="D16" s="99">
        <f t="shared" si="1"/>
        <v>-4</v>
      </c>
      <c r="E16" s="166">
        <f t="shared" si="0"/>
        <v>-20</v>
      </c>
      <c r="F16" s="173"/>
    </row>
    <row r="17" ht="18" customHeight="1" spans="1:8">
      <c r="A17" s="172" t="s">
        <v>439</v>
      </c>
      <c r="B17" s="99">
        <f t="shared" si="2"/>
        <v>24</v>
      </c>
      <c r="C17" s="99">
        <v>30</v>
      </c>
      <c r="D17" s="99">
        <f t="shared" si="1"/>
        <v>-6</v>
      </c>
      <c r="E17" s="166">
        <f t="shared" si="0"/>
        <v>-20</v>
      </c>
      <c r="F17" s="173"/>
      <c r="G17" s="174"/>
    </row>
    <row r="18" ht="18" customHeight="1" spans="1:8">
      <c r="A18" s="172" t="s">
        <v>440</v>
      </c>
      <c r="B18" s="99">
        <f t="shared" si="2"/>
        <v>16</v>
      </c>
      <c r="C18" s="99">
        <v>20</v>
      </c>
      <c r="D18" s="99">
        <f t="shared" si="1"/>
        <v>-4</v>
      </c>
      <c r="E18" s="166">
        <f t="shared" si="0"/>
        <v>-20</v>
      </c>
      <c r="F18" s="173"/>
      <c r="G18" s="175"/>
    </row>
    <row r="19" ht="18" customHeight="1" spans="1:8">
      <c r="A19" s="172" t="s">
        <v>441</v>
      </c>
      <c r="B19" s="99">
        <f t="shared" si="2"/>
        <v>24</v>
      </c>
      <c r="C19" s="99">
        <v>30</v>
      </c>
      <c r="D19" s="99">
        <f t="shared" si="1"/>
        <v>-6</v>
      </c>
      <c r="E19" s="166">
        <f t="shared" si="0"/>
        <v>-20</v>
      </c>
      <c r="F19" s="173" t="s">
        <v>442</v>
      </c>
    </row>
    <row r="20" ht="18" customHeight="1" spans="1:8">
      <c r="A20" s="172" t="s">
        <v>443</v>
      </c>
      <c r="B20" s="99">
        <f t="shared" si="2"/>
        <v>160</v>
      </c>
      <c r="C20" s="99">
        <v>200</v>
      </c>
      <c r="D20" s="99">
        <f t="shared" si="1"/>
        <v>-40</v>
      </c>
      <c r="E20" s="166">
        <f t="shared" si="0"/>
        <v>-20</v>
      </c>
      <c r="F20" s="173"/>
    </row>
    <row r="21" ht="18" customHeight="1" spans="1:8">
      <c r="A21" s="172" t="s">
        <v>444</v>
      </c>
      <c r="B21" s="99"/>
      <c r="C21" s="99">
        <v>20</v>
      </c>
      <c r="D21" s="99">
        <f t="shared" si="1"/>
        <v>-20</v>
      </c>
      <c r="E21" s="166">
        <f t="shared" si="0"/>
        <v>-100</v>
      </c>
      <c r="F21" s="173" t="s">
        <v>445</v>
      </c>
    </row>
    <row r="22" ht="18" customHeight="1" spans="1:8">
      <c r="A22" s="172" t="s">
        <v>446</v>
      </c>
      <c r="B22" s="99">
        <f t="shared" si="2"/>
        <v>19.2</v>
      </c>
      <c r="C22" s="99">
        <v>24</v>
      </c>
      <c r="D22" s="99">
        <f t="shared" si="1"/>
        <v>-4.8</v>
      </c>
      <c r="E22" s="166">
        <f t="shared" si="0"/>
        <v>-20</v>
      </c>
      <c r="F22" s="173"/>
    </row>
    <row r="23" ht="18" customHeight="1" spans="1:8">
      <c r="A23" s="176" t="s">
        <v>447</v>
      </c>
      <c r="B23" s="99">
        <f t="shared" si="2"/>
        <v>200</v>
      </c>
      <c r="C23" s="99">
        <v>250</v>
      </c>
      <c r="D23" s="99">
        <f t="shared" si="1"/>
        <v>-50</v>
      </c>
      <c r="E23" s="166">
        <f t="shared" si="0"/>
        <v>-20</v>
      </c>
      <c r="F23" s="173" t="s">
        <v>448</v>
      </c>
    </row>
    <row r="24" ht="18" customHeight="1" spans="1:8">
      <c r="A24" s="177" t="s">
        <v>449</v>
      </c>
      <c r="B24" s="99">
        <f t="shared" si="2"/>
        <v>16</v>
      </c>
      <c r="C24" s="99">
        <v>20</v>
      </c>
      <c r="D24" s="99">
        <f t="shared" ref="D24:D58" si="3">B24-C24</f>
        <v>-4</v>
      </c>
      <c r="E24" s="166">
        <f t="shared" ref="E24:E58" si="4">D24/C24*100</f>
        <v>-20</v>
      </c>
      <c r="F24" s="173" t="s">
        <v>450</v>
      </c>
    </row>
    <row r="25" ht="18" customHeight="1" spans="1:8">
      <c r="A25" s="172" t="s">
        <v>451</v>
      </c>
      <c r="B25" s="99">
        <f>SUM(B26:B40)</f>
        <v>216.9</v>
      </c>
      <c r="C25" s="99">
        <f>SUM(C26:C40)</f>
        <v>285.5</v>
      </c>
      <c r="D25" s="99">
        <f t="shared" si="3"/>
        <v>-68.6</v>
      </c>
      <c r="E25" s="166">
        <f t="shared" si="4"/>
        <v>-24.0280210157618</v>
      </c>
      <c r="F25" s="173"/>
      <c r="H25" s="157">
        <v>68.6</v>
      </c>
    </row>
    <row r="26" ht="18" customHeight="1" spans="1:8">
      <c r="A26" s="172" t="s">
        <v>452</v>
      </c>
      <c r="B26" s="99">
        <v>19.3</v>
      </c>
      <c r="C26" s="99">
        <v>19.3</v>
      </c>
      <c r="D26" s="99">
        <f t="shared" si="3"/>
        <v>0</v>
      </c>
      <c r="E26" s="166">
        <f t="shared" si="4"/>
        <v>0</v>
      </c>
      <c r="F26" s="173" t="s">
        <v>453</v>
      </c>
    </row>
    <row r="27" ht="18" customHeight="1" spans="1:8">
      <c r="A27" s="172" t="s">
        <v>454</v>
      </c>
      <c r="B27" s="99">
        <v>31.2</v>
      </c>
      <c r="C27" s="99">
        <v>31.2</v>
      </c>
      <c r="D27" s="99">
        <f t="shared" si="3"/>
        <v>0</v>
      </c>
      <c r="E27" s="166">
        <f t="shared" si="4"/>
        <v>0</v>
      </c>
      <c r="F27" s="173" t="s">
        <v>455</v>
      </c>
    </row>
    <row r="28" ht="18" customHeight="1" spans="1:8">
      <c r="A28" s="172" t="s">
        <v>456</v>
      </c>
      <c r="B28" s="99">
        <f>C28*0.8</f>
        <v>4</v>
      </c>
      <c r="C28" s="99">
        <v>5</v>
      </c>
      <c r="D28" s="99">
        <f t="shared" si="3"/>
        <v>-1</v>
      </c>
      <c r="E28" s="166">
        <f t="shared" si="4"/>
        <v>-20</v>
      </c>
      <c r="F28" s="173"/>
    </row>
    <row r="29" ht="18" customHeight="1" spans="1:8">
      <c r="A29" s="172" t="s">
        <v>457</v>
      </c>
      <c r="B29" s="99">
        <f t="shared" ref="B29:B40" si="5">C29*0.8</f>
        <v>8</v>
      </c>
      <c r="C29" s="99">
        <v>10</v>
      </c>
      <c r="D29" s="99">
        <f t="shared" si="3"/>
        <v>-2</v>
      </c>
      <c r="E29" s="166">
        <f t="shared" si="4"/>
        <v>-20</v>
      </c>
      <c r="F29" s="173"/>
    </row>
    <row r="30" ht="18" customHeight="1" spans="1:8">
      <c r="A30" s="172" t="s">
        <v>458</v>
      </c>
      <c r="B30" s="99">
        <f t="shared" si="5"/>
        <v>4</v>
      </c>
      <c r="C30" s="99">
        <v>5</v>
      </c>
      <c r="D30" s="99">
        <f t="shared" si="3"/>
        <v>-1</v>
      </c>
      <c r="E30" s="166">
        <f t="shared" si="4"/>
        <v>-20</v>
      </c>
      <c r="F30" s="173"/>
      <c r="G30" s="178"/>
    </row>
    <row r="31" ht="18" customHeight="1" spans="1:8">
      <c r="A31" s="172" t="s">
        <v>459</v>
      </c>
      <c r="B31" s="99">
        <f t="shared" si="5"/>
        <v>12</v>
      </c>
      <c r="C31" s="99">
        <v>15</v>
      </c>
      <c r="D31" s="99">
        <f t="shared" si="3"/>
        <v>-3</v>
      </c>
      <c r="E31" s="166">
        <f t="shared" si="4"/>
        <v>-20</v>
      </c>
      <c r="F31" s="173"/>
      <c r="G31" s="178"/>
    </row>
    <row r="32" ht="18" customHeight="1" spans="1:8">
      <c r="A32" s="172" t="s">
        <v>460</v>
      </c>
      <c r="B32" s="99">
        <f t="shared" si="5"/>
        <v>2.4</v>
      </c>
      <c r="C32" s="99">
        <v>3</v>
      </c>
      <c r="D32" s="99">
        <f t="shared" si="3"/>
        <v>-0.6</v>
      </c>
      <c r="E32" s="166">
        <f t="shared" si="4"/>
        <v>-20</v>
      </c>
      <c r="F32" s="173"/>
      <c r="G32" s="178"/>
    </row>
    <row r="33" ht="18" customHeight="1" spans="1:8">
      <c r="A33" s="172" t="s">
        <v>461</v>
      </c>
      <c r="B33" s="99">
        <f t="shared" si="5"/>
        <v>24</v>
      </c>
      <c r="C33" s="99">
        <v>30</v>
      </c>
      <c r="D33" s="99">
        <f t="shared" si="3"/>
        <v>-6</v>
      </c>
      <c r="E33" s="166">
        <f t="shared" si="4"/>
        <v>-20</v>
      </c>
      <c r="F33" s="173"/>
      <c r="G33" s="178"/>
    </row>
    <row r="34" ht="18" customHeight="1" spans="1:8">
      <c r="A34" s="172" t="s">
        <v>462</v>
      </c>
      <c r="B34" s="99">
        <f t="shared" si="5"/>
        <v>8</v>
      </c>
      <c r="C34" s="99">
        <v>10</v>
      </c>
      <c r="D34" s="99">
        <f t="shared" si="3"/>
        <v>-2</v>
      </c>
      <c r="E34" s="166">
        <f t="shared" si="4"/>
        <v>-20</v>
      </c>
      <c r="F34" s="173"/>
      <c r="G34" s="175"/>
    </row>
    <row r="35" ht="18" customHeight="1" spans="1:8">
      <c r="A35" s="172" t="s">
        <v>463</v>
      </c>
      <c r="B35" s="99">
        <f t="shared" si="5"/>
        <v>16</v>
      </c>
      <c r="C35" s="99">
        <v>20</v>
      </c>
      <c r="D35" s="99">
        <f t="shared" si="3"/>
        <v>-4</v>
      </c>
      <c r="E35" s="166">
        <f t="shared" si="4"/>
        <v>-20</v>
      </c>
      <c r="F35" s="173"/>
      <c r="G35" s="175"/>
    </row>
    <row r="36" ht="18" customHeight="1" spans="1:8">
      <c r="A36" s="172" t="s">
        <v>464</v>
      </c>
      <c r="B36" s="99">
        <f t="shared" si="5"/>
        <v>8</v>
      </c>
      <c r="C36" s="99">
        <v>10</v>
      </c>
      <c r="D36" s="99">
        <f t="shared" si="3"/>
        <v>-2</v>
      </c>
      <c r="E36" s="166">
        <f t="shared" si="4"/>
        <v>-20</v>
      </c>
      <c r="F36" s="173"/>
      <c r="G36" s="175"/>
    </row>
    <row r="37" s="153" customFormat="1" ht="18" customHeight="1" spans="1:8">
      <c r="A37" s="172" t="s">
        <v>465</v>
      </c>
      <c r="B37" s="99">
        <f t="shared" si="5"/>
        <v>24</v>
      </c>
      <c r="C37" s="99">
        <v>30</v>
      </c>
      <c r="D37" s="99">
        <f t="shared" si="3"/>
        <v>-6</v>
      </c>
      <c r="E37" s="166">
        <f t="shared" si="4"/>
        <v>-20</v>
      </c>
      <c r="F37" s="173"/>
      <c r="G37" s="175"/>
      <c r="H37" s="157"/>
    </row>
    <row r="38" s="153" customFormat="1" ht="18" customHeight="1" spans="1:8">
      <c r="A38" s="172" t="s">
        <v>466</v>
      </c>
      <c r="B38" s="99">
        <f t="shared" si="5"/>
        <v>48</v>
      </c>
      <c r="C38" s="99">
        <v>60</v>
      </c>
      <c r="D38" s="99">
        <f t="shared" si="3"/>
        <v>-12</v>
      </c>
      <c r="E38" s="166">
        <f t="shared" si="4"/>
        <v>-20</v>
      </c>
      <c r="F38" s="173"/>
      <c r="G38" s="175"/>
      <c r="H38" s="157"/>
    </row>
    <row r="39" ht="18" customHeight="1" spans="1:8">
      <c r="A39" s="172" t="s">
        <v>467</v>
      </c>
      <c r="B39" s="99"/>
      <c r="C39" s="99">
        <v>27</v>
      </c>
      <c r="D39" s="99">
        <f t="shared" si="3"/>
        <v>-27</v>
      </c>
      <c r="E39" s="166">
        <f t="shared" si="4"/>
        <v>-100</v>
      </c>
      <c r="F39" s="173" t="s">
        <v>445</v>
      </c>
      <c r="G39" s="175"/>
    </row>
    <row r="40" ht="18" customHeight="1" spans="1:8">
      <c r="A40" s="172" t="s">
        <v>468</v>
      </c>
      <c r="B40" s="99">
        <f t="shared" si="5"/>
        <v>8</v>
      </c>
      <c r="C40" s="99">
        <v>10</v>
      </c>
      <c r="D40" s="99">
        <f t="shared" si="3"/>
        <v>-2</v>
      </c>
      <c r="E40" s="166">
        <f t="shared" si="4"/>
        <v>-20</v>
      </c>
      <c r="F40" s="173"/>
    </row>
    <row r="41" ht="18" customHeight="1" spans="1:8">
      <c r="A41" s="172" t="s">
        <v>469</v>
      </c>
      <c r="B41" s="99">
        <f>SUM(B42,B60:B67)</f>
        <v>432.4</v>
      </c>
      <c r="C41" s="99">
        <f>SUM(C42,C60:C67)</f>
        <v>590</v>
      </c>
      <c r="D41" s="99">
        <f t="shared" si="3"/>
        <v>-157.6</v>
      </c>
      <c r="E41" s="166">
        <f t="shared" si="4"/>
        <v>-26.7118644067797</v>
      </c>
      <c r="F41" s="173"/>
    </row>
    <row r="42" ht="18" customHeight="1" spans="1:8">
      <c r="A42" s="172" t="s">
        <v>470</v>
      </c>
      <c r="B42" s="99">
        <f>SUM(B43:B59)</f>
        <v>204.4</v>
      </c>
      <c r="C42" s="99">
        <f>SUM(C43:C59)</f>
        <v>300.5</v>
      </c>
      <c r="D42" s="99">
        <f t="shared" si="3"/>
        <v>-96.1</v>
      </c>
      <c r="E42" s="166">
        <f t="shared" si="4"/>
        <v>-31.9800332778702</v>
      </c>
      <c r="F42" s="173"/>
      <c r="H42" s="157">
        <v>96.1</v>
      </c>
    </row>
    <row r="43" ht="18" customHeight="1" spans="1:8">
      <c r="A43" s="172" t="s">
        <v>471</v>
      </c>
      <c r="B43" s="99">
        <f>C43*0.8</f>
        <v>8</v>
      </c>
      <c r="C43" s="99">
        <v>10</v>
      </c>
      <c r="D43" s="99">
        <f t="shared" si="3"/>
        <v>-2</v>
      </c>
      <c r="E43" s="166">
        <f t="shared" si="4"/>
        <v>-20</v>
      </c>
      <c r="F43" s="173"/>
    </row>
    <row r="44" ht="18" customHeight="1" spans="1:8">
      <c r="A44" s="172" t="s">
        <v>472</v>
      </c>
      <c r="B44" s="99">
        <f t="shared" ref="B44:B60" si="6">C44*0.8</f>
        <v>4</v>
      </c>
      <c r="C44" s="99">
        <v>5</v>
      </c>
      <c r="D44" s="99">
        <f t="shared" si="3"/>
        <v>-1</v>
      </c>
      <c r="E44" s="166">
        <f t="shared" si="4"/>
        <v>-20</v>
      </c>
      <c r="F44" s="173"/>
    </row>
    <row r="45" ht="18" customHeight="1" spans="1:8">
      <c r="A45" s="172" t="s">
        <v>473</v>
      </c>
      <c r="B45" s="99">
        <f t="shared" si="6"/>
        <v>4</v>
      </c>
      <c r="C45" s="99">
        <v>5</v>
      </c>
      <c r="D45" s="99">
        <f t="shared" si="3"/>
        <v>-1</v>
      </c>
      <c r="E45" s="166">
        <f t="shared" si="4"/>
        <v>-20</v>
      </c>
      <c r="F45" s="173" t="s">
        <v>474</v>
      </c>
    </row>
    <row r="46" ht="18" customHeight="1" spans="1:8">
      <c r="A46" s="172" t="s">
        <v>475</v>
      </c>
      <c r="B46" s="99">
        <f t="shared" si="6"/>
        <v>16</v>
      </c>
      <c r="C46" s="99">
        <v>20</v>
      </c>
      <c r="D46" s="99">
        <f t="shared" si="3"/>
        <v>-4</v>
      </c>
      <c r="E46" s="166">
        <f t="shared" si="4"/>
        <v>-20</v>
      </c>
      <c r="F46" s="173"/>
    </row>
    <row r="47" ht="42.95" customHeight="1" spans="1:8">
      <c r="A47" s="172" t="s">
        <v>476</v>
      </c>
      <c r="B47" s="99">
        <f t="shared" si="6"/>
        <v>24</v>
      </c>
      <c r="C47" s="99">
        <v>30</v>
      </c>
      <c r="D47" s="99">
        <f t="shared" si="3"/>
        <v>-6</v>
      </c>
      <c r="E47" s="166">
        <f t="shared" si="4"/>
        <v>-20</v>
      </c>
      <c r="F47" s="179" t="s">
        <v>477</v>
      </c>
    </row>
    <row r="48" ht="18" customHeight="1" spans="1:8">
      <c r="A48" s="172" t="s">
        <v>478</v>
      </c>
      <c r="B48" s="99">
        <f t="shared" si="6"/>
        <v>12</v>
      </c>
      <c r="C48" s="99">
        <v>15</v>
      </c>
      <c r="D48" s="99">
        <f t="shared" si="3"/>
        <v>-3</v>
      </c>
      <c r="E48" s="166">
        <f t="shared" si="4"/>
        <v>-20</v>
      </c>
      <c r="F48" s="173"/>
    </row>
    <row r="49" ht="18" customHeight="1" spans="1:8">
      <c r="A49" s="172" t="s">
        <v>479</v>
      </c>
      <c r="B49" s="99">
        <f t="shared" si="6"/>
        <v>4</v>
      </c>
      <c r="C49" s="99">
        <v>5</v>
      </c>
      <c r="D49" s="99">
        <f t="shared" si="3"/>
        <v>-1</v>
      </c>
      <c r="E49" s="166">
        <f t="shared" si="4"/>
        <v>-20</v>
      </c>
      <c r="F49" s="173" t="s">
        <v>480</v>
      </c>
    </row>
    <row r="50" ht="18" customHeight="1" spans="1:8">
      <c r="A50" s="172" t="s">
        <v>481</v>
      </c>
      <c r="B50" s="99">
        <f t="shared" si="6"/>
        <v>24</v>
      </c>
      <c r="C50" s="99">
        <v>30</v>
      </c>
      <c r="D50" s="99">
        <f t="shared" si="3"/>
        <v>-6</v>
      </c>
      <c r="E50" s="166">
        <f t="shared" si="4"/>
        <v>-20</v>
      </c>
      <c r="F50" s="173"/>
    </row>
    <row r="51" ht="18" customHeight="1" spans="1:8">
      <c r="A51" s="172" t="s">
        <v>482</v>
      </c>
      <c r="B51" s="99">
        <f t="shared" si="6"/>
        <v>12</v>
      </c>
      <c r="C51" s="99">
        <v>15</v>
      </c>
      <c r="D51" s="99">
        <f t="shared" si="3"/>
        <v>-3</v>
      </c>
      <c r="E51" s="166">
        <f t="shared" si="4"/>
        <v>-20</v>
      </c>
      <c r="F51" s="173"/>
    </row>
    <row r="52" ht="18" customHeight="1" spans="1:8">
      <c r="A52" s="172" t="s">
        <v>483</v>
      </c>
      <c r="B52" s="99">
        <f t="shared" si="6"/>
        <v>4</v>
      </c>
      <c r="C52" s="99">
        <v>5</v>
      </c>
      <c r="D52" s="99">
        <f t="shared" si="3"/>
        <v>-1</v>
      </c>
      <c r="E52" s="166">
        <f t="shared" si="4"/>
        <v>-20</v>
      </c>
      <c r="F52" s="173"/>
    </row>
    <row r="53" ht="18" customHeight="1" spans="1:8">
      <c r="A53" s="172" t="s">
        <v>484</v>
      </c>
      <c r="B53" s="99">
        <f t="shared" si="6"/>
        <v>16</v>
      </c>
      <c r="C53" s="99">
        <v>20</v>
      </c>
      <c r="D53" s="99">
        <f t="shared" si="3"/>
        <v>-4</v>
      </c>
      <c r="E53" s="166">
        <f t="shared" si="4"/>
        <v>-20</v>
      </c>
      <c r="F53" s="173"/>
    </row>
    <row r="54" ht="18" customHeight="1" spans="1:8">
      <c r="A54" s="172" t="s">
        <v>485</v>
      </c>
      <c r="B54" s="99">
        <f t="shared" si="6"/>
        <v>6.4</v>
      </c>
      <c r="C54" s="99">
        <v>8</v>
      </c>
      <c r="D54" s="99">
        <f t="shared" si="3"/>
        <v>-1.6</v>
      </c>
      <c r="E54" s="166">
        <f t="shared" si="4"/>
        <v>-20</v>
      </c>
      <c r="F54" s="173"/>
    </row>
    <row r="55" ht="18" customHeight="1" spans="1:8">
      <c r="A55" s="172" t="s">
        <v>486</v>
      </c>
      <c r="B55" s="99">
        <f t="shared" si="6"/>
        <v>8</v>
      </c>
      <c r="C55" s="99">
        <v>10</v>
      </c>
      <c r="D55" s="99">
        <f t="shared" si="3"/>
        <v>-2</v>
      </c>
      <c r="E55" s="166">
        <f t="shared" si="4"/>
        <v>-20</v>
      </c>
      <c r="F55" s="173"/>
    </row>
    <row r="56" ht="18" customHeight="1" spans="1:8">
      <c r="A56" s="172" t="s">
        <v>487</v>
      </c>
      <c r="B56" s="99">
        <f t="shared" si="6"/>
        <v>4</v>
      </c>
      <c r="C56" s="99">
        <v>5</v>
      </c>
      <c r="D56" s="99">
        <f t="shared" si="3"/>
        <v>-1</v>
      </c>
      <c r="E56" s="166">
        <f t="shared" si="4"/>
        <v>-20</v>
      </c>
      <c r="F56" s="173"/>
    </row>
    <row r="57" ht="18" customHeight="1" spans="1:8">
      <c r="A57" s="172" t="s">
        <v>488</v>
      </c>
      <c r="B57" s="99">
        <f t="shared" si="6"/>
        <v>4</v>
      </c>
      <c r="C57" s="99">
        <v>5</v>
      </c>
      <c r="D57" s="99">
        <f t="shared" si="3"/>
        <v>-1</v>
      </c>
      <c r="E57" s="166">
        <f t="shared" si="4"/>
        <v>-20</v>
      </c>
      <c r="F57" s="173"/>
    </row>
    <row r="58" ht="18" customHeight="1" spans="1:8">
      <c r="A58" s="172" t="s">
        <v>489</v>
      </c>
      <c r="B58" s="99">
        <f t="shared" si="6"/>
        <v>24</v>
      </c>
      <c r="C58" s="99">
        <v>30</v>
      </c>
      <c r="D58" s="99">
        <f t="shared" si="3"/>
        <v>-6</v>
      </c>
      <c r="E58" s="166">
        <f t="shared" si="4"/>
        <v>-20</v>
      </c>
      <c r="F58" s="173" t="s">
        <v>490</v>
      </c>
      <c r="H58" s="157">
        <v>6</v>
      </c>
    </row>
    <row r="59" ht="18" customHeight="1" spans="1:8">
      <c r="A59" s="172" t="s">
        <v>491</v>
      </c>
      <c r="B59" s="99">
        <v>30</v>
      </c>
      <c r="C59" s="99">
        <v>82.5</v>
      </c>
      <c r="D59" s="99">
        <f t="shared" ref="D59:D96" si="7">B59-C59</f>
        <v>-52.5</v>
      </c>
      <c r="E59" s="166">
        <f t="shared" ref="E59:E96" si="8">D59/C59*100</f>
        <v>-63.6363636363636</v>
      </c>
      <c r="F59" s="173" t="s">
        <v>492</v>
      </c>
    </row>
    <row r="60" ht="18" customHeight="1" spans="1:8">
      <c r="A60" s="172" t="s">
        <v>493</v>
      </c>
      <c r="B60" s="99">
        <v>2</v>
      </c>
      <c r="C60" s="99">
        <v>2</v>
      </c>
      <c r="D60" s="99">
        <f t="shared" si="7"/>
        <v>0</v>
      </c>
      <c r="E60" s="166">
        <f t="shared" si="8"/>
        <v>0</v>
      </c>
      <c r="F60" s="173"/>
    </row>
    <row r="61" ht="18" customHeight="1" spans="1:8">
      <c r="A61" s="172" t="s">
        <v>494</v>
      </c>
      <c r="B61" s="99">
        <f t="shared" ref="B61:B66" si="9">C61*0.8</f>
        <v>28</v>
      </c>
      <c r="C61" s="99">
        <v>35</v>
      </c>
      <c r="D61" s="99">
        <f t="shared" si="7"/>
        <v>-7</v>
      </c>
      <c r="E61" s="166">
        <f t="shared" si="8"/>
        <v>-20</v>
      </c>
      <c r="F61" s="173" t="s">
        <v>495</v>
      </c>
      <c r="G61" s="156" t="s">
        <v>496</v>
      </c>
      <c r="H61" s="157">
        <v>7</v>
      </c>
    </row>
    <row r="62" ht="18" customHeight="1" spans="1:8">
      <c r="A62" s="172" t="s">
        <v>497</v>
      </c>
      <c r="B62" s="99">
        <f t="shared" si="9"/>
        <v>32</v>
      </c>
      <c r="C62" s="99">
        <v>40</v>
      </c>
      <c r="D62" s="99">
        <f t="shared" si="7"/>
        <v>-8</v>
      </c>
      <c r="E62" s="166">
        <f t="shared" si="8"/>
        <v>-20</v>
      </c>
      <c r="F62" s="173" t="s">
        <v>498</v>
      </c>
      <c r="G62" s="156" t="s">
        <v>496</v>
      </c>
      <c r="H62" s="157">
        <v>8</v>
      </c>
    </row>
    <row r="63" ht="18" customHeight="1" spans="1:8">
      <c r="A63" s="172" t="s">
        <v>499</v>
      </c>
      <c r="B63" s="99">
        <f t="shared" si="9"/>
        <v>6</v>
      </c>
      <c r="C63" s="99">
        <v>7.5</v>
      </c>
      <c r="D63" s="99">
        <f t="shared" si="7"/>
        <v>-1.5</v>
      </c>
      <c r="E63" s="166">
        <f t="shared" si="8"/>
        <v>-20</v>
      </c>
      <c r="F63" s="173"/>
      <c r="G63" s="156" t="s">
        <v>496</v>
      </c>
      <c r="H63" s="157">
        <v>1.5</v>
      </c>
    </row>
    <row r="64" ht="18" customHeight="1" spans="1:8">
      <c r="A64" s="172" t="s">
        <v>500</v>
      </c>
      <c r="B64" s="99">
        <f t="shared" si="9"/>
        <v>24</v>
      </c>
      <c r="C64" s="99">
        <v>30</v>
      </c>
      <c r="D64" s="99">
        <f t="shared" si="7"/>
        <v>-6</v>
      </c>
      <c r="E64" s="166">
        <f t="shared" si="8"/>
        <v>-20</v>
      </c>
      <c r="F64" s="173"/>
      <c r="H64" s="157">
        <v>6</v>
      </c>
    </row>
    <row r="65" ht="30" customHeight="1" spans="1:8">
      <c r="A65" s="172" t="s">
        <v>501</v>
      </c>
      <c r="B65" s="99">
        <f t="shared" si="9"/>
        <v>68</v>
      </c>
      <c r="C65" s="99">
        <v>85</v>
      </c>
      <c r="D65" s="99">
        <f t="shared" si="7"/>
        <v>-17</v>
      </c>
      <c r="E65" s="166">
        <f t="shared" si="8"/>
        <v>-20</v>
      </c>
      <c r="F65" s="173" t="s">
        <v>502</v>
      </c>
      <c r="H65" s="157">
        <v>17</v>
      </c>
    </row>
    <row r="66" ht="29.1" customHeight="1" spans="1:8">
      <c r="A66" s="172" t="s">
        <v>503</v>
      </c>
      <c r="B66" s="99">
        <f t="shared" si="9"/>
        <v>68</v>
      </c>
      <c r="C66" s="99">
        <v>85</v>
      </c>
      <c r="D66" s="99">
        <f t="shared" si="7"/>
        <v>-17</v>
      </c>
      <c r="E66" s="166">
        <f t="shared" si="8"/>
        <v>-20</v>
      </c>
      <c r="F66" s="173" t="s">
        <v>504</v>
      </c>
      <c r="H66" s="157">
        <v>17</v>
      </c>
    </row>
    <row r="67" ht="18" customHeight="1" spans="1:8">
      <c r="A67" s="172" t="s">
        <v>505</v>
      </c>
      <c r="B67" s="99"/>
      <c r="C67" s="99">
        <v>5</v>
      </c>
      <c r="D67" s="99">
        <f t="shared" si="7"/>
        <v>-5</v>
      </c>
      <c r="E67" s="166">
        <f t="shared" si="8"/>
        <v>-100</v>
      </c>
      <c r="F67" s="173" t="s">
        <v>506</v>
      </c>
    </row>
    <row r="68" ht="20.1" customHeight="1" spans="1:8">
      <c r="A68" s="172" t="s">
        <v>198</v>
      </c>
      <c r="B68" s="99">
        <f>B69+B70+B71</f>
        <v>1088</v>
      </c>
      <c r="C68" s="99">
        <f>C69+C70+C71</f>
        <v>1110</v>
      </c>
      <c r="D68" s="99">
        <f t="shared" si="7"/>
        <v>-22</v>
      </c>
      <c r="E68" s="166">
        <f t="shared" si="8"/>
        <v>-1.98198198198198</v>
      </c>
      <c r="F68" s="180"/>
    </row>
    <row r="69" ht="80.1" customHeight="1" spans="1:8">
      <c r="A69" s="172" t="s">
        <v>507</v>
      </c>
      <c r="B69" s="99">
        <v>1000</v>
      </c>
      <c r="C69" s="99">
        <v>1000</v>
      </c>
      <c r="D69" s="99">
        <f t="shared" si="7"/>
        <v>0</v>
      </c>
      <c r="E69" s="166">
        <f t="shared" si="8"/>
        <v>0</v>
      </c>
      <c r="F69" s="180" t="s">
        <v>508</v>
      </c>
    </row>
    <row r="70" ht="18" customHeight="1" spans="1:8">
      <c r="A70" s="172" t="s">
        <v>509</v>
      </c>
      <c r="B70" s="99">
        <f>C70*0.8</f>
        <v>80</v>
      </c>
      <c r="C70" s="99">
        <v>100</v>
      </c>
      <c r="D70" s="99">
        <f t="shared" si="7"/>
        <v>-20</v>
      </c>
      <c r="E70" s="166">
        <f t="shared" si="8"/>
        <v>-20</v>
      </c>
      <c r="F70" s="179"/>
      <c r="H70" s="157">
        <v>20</v>
      </c>
    </row>
    <row r="71" ht="18" customHeight="1" spans="1:8">
      <c r="A71" s="181" t="s">
        <v>510</v>
      </c>
      <c r="B71" s="99">
        <f>C71*0.8</f>
        <v>8</v>
      </c>
      <c r="C71" s="99">
        <v>10</v>
      </c>
      <c r="D71" s="99">
        <f t="shared" si="7"/>
        <v>-2</v>
      </c>
      <c r="E71" s="166">
        <f t="shared" si="8"/>
        <v>-20</v>
      </c>
      <c r="F71" s="179"/>
      <c r="H71" s="157">
        <v>2</v>
      </c>
    </row>
    <row r="72" ht="18" customHeight="1" spans="1:8">
      <c r="A72" s="172" t="s">
        <v>511</v>
      </c>
      <c r="B72" s="99">
        <f>SUM(B73:B85)</f>
        <v>497.2</v>
      </c>
      <c r="C72" s="99">
        <f>SUM(C73:C85)</f>
        <v>284</v>
      </c>
      <c r="D72" s="99">
        <f t="shared" si="7"/>
        <v>213.2</v>
      </c>
      <c r="E72" s="166">
        <f t="shared" si="8"/>
        <v>75.0704225352113</v>
      </c>
      <c r="F72" s="173"/>
      <c r="H72" s="157">
        <v>136.8</v>
      </c>
    </row>
    <row r="73" ht="18" customHeight="1" spans="1:8">
      <c r="A73" s="172" t="s">
        <v>512</v>
      </c>
      <c r="B73" s="99">
        <f>C73*0.8</f>
        <v>9.6</v>
      </c>
      <c r="C73" s="99">
        <v>12</v>
      </c>
      <c r="D73" s="99">
        <f t="shared" si="7"/>
        <v>-2.4</v>
      </c>
      <c r="E73" s="166">
        <f t="shared" si="8"/>
        <v>-20</v>
      </c>
      <c r="F73" s="173"/>
    </row>
    <row r="74" ht="18" customHeight="1" spans="1:8">
      <c r="A74" s="172" t="s">
        <v>513</v>
      </c>
      <c r="B74" s="99">
        <f t="shared" ref="B74:B84" si="10">C74*0.8</f>
        <v>19.2</v>
      </c>
      <c r="C74" s="99">
        <v>24</v>
      </c>
      <c r="D74" s="99">
        <f t="shared" si="7"/>
        <v>-4.8</v>
      </c>
      <c r="E74" s="166">
        <f t="shared" si="8"/>
        <v>-20</v>
      </c>
      <c r="F74" s="173"/>
    </row>
    <row r="75" ht="18" customHeight="1" spans="1:8">
      <c r="A75" s="172" t="s">
        <v>514</v>
      </c>
      <c r="B75" s="99">
        <f t="shared" si="10"/>
        <v>4</v>
      </c>
      <c r="C75" s="99">
        <v>5</v>
      </c>
      <c r="D75" s="99">
        <f t="shared" si="7"/>
        <v>-1</v>
      </c>
      <c r="E75" s="166">
        <f t="shared" si="8"/>
        <v>-20</v>
      </c>
      <c r="F75" s="173"/>
    </row>
    <row r="76" ht="18" customHeight="1" spans="1:8">
      <c r="A76" s="172" t="s">
        <v>515</v>
      </c>
      <c r="B76" s="99">
        <f t="shared" si="10"/>
        <v>8</v>
      </c>
      <c r="C76" s="99">
        <v>10</v>
      </c>
      <c r="D76" s="99">
        <f t="shared" si="7"/>
        <v>-2</v>
      </c>
      <c r="E76" s="166">
        <f t="shared" si="8"/>
        <v>-20</v>
      </c>
      <c r="F76" s="173"/>
    </row>
    <row r="77" ht="18" customHeight="1" spans="1:8">
      <c r="A77" s="172" t="s">
        <v>516</v>
      </c>
      <c r="B77" s="99">
        <f t="shared" si="10"/>
        <v>14.4</v>
      </c>
      <c r="C77" s="99">
        <v>18</v>
      </c>
      <c r="D77" s="99">
        <f t="shared" si="7"/>
        <v>-3.6</v>
      </c>
      <c r="E77" s="166">
        <f t="shared" si="8"/>
        <v>-20</v>
      </c>
      <c r="F77" s="173"/>
    </row>
    <row r="78" ht="18" customHeight="1" spans="1:8">
      <c r="A78" s="172" t="s">
        <v>517</v>
      </c>
      <c r="B78" s="99">
        <f t="shared" si="10"/>
        <v>16</v>
      </c>
      <c r="C78" s="99">
        <v>20</v>
      </c>
      <c r="D78" s="99">
        <f t="shared" si="7"/>
        <v>-4</v>
      </c>
      <c r="E78" s="166">
        <f t="shared" si="8"/>
        <v>-20</v>
      </c>
      <c r="F78" s="173"/>
    </row>
    <row r="79" ht="18" customHeight="1" spans="1:8">
      <c r="A79" s="172" t="s">
        <v>518</v>
      </c>
      <c r="B79" s="99">
        <f t="shared" si="10"/>
        <v>16</v>
      </c>
      <c r="C79" s="99">
        <v>20</v>
      </c>
      <c r="D79" s="99">
        <f t="shared" si="7"/>
        <v>-4</v>
      </c>
      <c r="E79" s="166">
        <f t="shared" si="8"/>
        <v>-20</v>
      </c>
      <c r="F79" s="173" t="s">
        <v>519</v>
      </c>
    </row>
    <row r="80" ht="18" customHeight="1" spans="1:8">
      <c r="A80" s="172" t="s">
        <v>520</v>
      </c>
      <c r="B80" s="99">
        <f t="shared" si="10"/>
        <v>8</v>
      </c>
      <c r="C80" s="99">
        <v>10</v>
      </c>
      <c r="D80" s="99">
        <f t="shared" si="7"/>
        <v>-2</v>
      </c>
      <c r="E80" s="166">
        <f t="shared" si="8"/>
        <v>-20</v>
      </c>
      <c r="F80" s="173" t="s">
        <v>521</v>
      </c>
    </row>
    <row r="81" ht="18" customHeight="1" spans="1:8">
      <c r="A81" s="172" t="s">
        <v>522</v>
      </c>
      <c r="B81" s="99">
        <f t="shared" si="10"/>
        <v>16</v>
      </c>
      <c r="C81" s="99">
        <v>20</v>
      </c>
      <c r="D81" s="99">
        <f t="shared" si="7"/>
        <v>-4</v>
      </c>
      <c r="E81" s="166">
        <f t="shared" si="8"/>
        <v>-20</v>
      </c>
      <c r="F81" s="173" t="s">
        <v>523</v>
      </c>
    </row>
    <row r="82" ht="18" customHeight="1" spans="1:8">
      <c r="A82" s="172" t="s">
        <v>524</v>
      </c>
      <c r="B82" s="99">
        <v>0</v>
      </c>
      <c r="C82" s="99">
        <v>100</v>
      </c>
      <c r="D82" s="99">
        <f t="shared" si="7"/>
        <v>-100</v>
      </c>
      <c r="E82" s="166">
        <f t="shared" si="8"/>
        <v>-100</v>
      </c>
      <c r="F82" s="173" t="s">
        <v>525</v>
      </c>
    </row>
    <row r="83" ht="29" customHeight="1" spans="1:8">
      <c r="A83" s="172" t="s">
        <v>526</v>
      </c>
      <c r="B83" s="99">
        <v>350</v>
      </c>
      <c r="C83" s="99"/>
      <c r="D83" s="99">
        <v>350</v>
      </c>
      <c r="E83" s="166">
        <v>100</v>
      </c>
      <c r="F83" s="173" t="s">
        <v>527</v>
      </c>
    </row>
    <row r="84" ht="18" customHeight="1" spans="1:8">
      <c r="A84" s="172" t="s">
        <v>528</v>
      </c>
      <c r="B84" s="99">
        <f>C84*0.8</f>
        <v>12</v>
      </c>
      <c r="C84" s="99">
        <v>15</v>
      </c>
      <c r="D84" s="99">
        <f t="shared" ref="D84:D97" si="11">B84-C84</f>
        <v>-3</v>
      </c>
      <c r="E84" s="166">
        <f t="shared" ref="E84:E97" si="12">D84/C84*100</f>
        <v>-20</v>
      </c>
      <c r="F84" s="173" t="s">
        <v>529</v>
      </c>
    </row>
    <row r="85" ht="18" customHeight="1" spans="1:8">
      <c r="A85" s="172" t="s">
        <v>530</v>
      </c>
      <c r="B85" s="99">
        <f>C85*0.8</f>
        <v>24</v>
      </c>
      <c r="C85" s="99">
        <v>30</v>
      </c>
      <c r="D85" s="99">
        <f t="shared" si="11"/>
        <v>-6</v>
      </c>
      <c r="E85" s="166">
        <f t="shared" si="12"/>
        <v>-20</v>
      </c>
      <c r="F85" s="173"/>
    </row>
    <row r="86" ht="18" customHeight="1" spans="1:8">
      <c r="A86" s="172" t="s">
        <v>201</v>
      </c>
      <c r="B86" s="99">
        <f>SUM(B87:B99)</f>
        <v>400</v>
      </c>
      <c r="C86" s="99">
        <f>SUM(C87:C99)</f>
        <v>502</v>
      </c>
      <c r="D86" s="99">
        <f t="shared" si="11"/>
        <v>-102</v>
      </c>
      <c r="E86" s="166">
        <f t="shared" si="12"/>
        <v>-20.3187250996016</v>
      </c>
      <c r="F86" s="173"/>
      <c r="H86" s="157">
        <v>102</v>
      </c>
    </row>
    <row r="87" ht="18" customHeight="1" spans="1:8">
      <c r="A87" s="182" t="s">
        <v>531</v>
      </c>
      <c r="B87" s="99">
        <f>C87*0.8</f>
        <v>8</v>
      </c>
      <c r="C87" s="99">
        <v>10</v>
      </c>
      <c r="D87" s="99">
        <f t="shared" si="11"/>
        <v>-2</v>
      </c>
      <c r="E87" s="166">
        <f t="shared" si="12"/>
        <v>-20</v>
      </c>
      <c r="F87" s="173"/>
    </row>
    <row r="88" ht="18" customHeight="1" spans="1:8">
      <c r="A88" s="182" t="s">
        <v>532</v>
      </c>
      <c r="B88" s="99">
        <f t="shared" ref="B88:B99" si="13">C88*0.8</f>
        <v>32</v>
      </c>
      <c r="C88" s="99">
        <v>40</v>
      </c>
      <c r="D88" s="99">
        <f t="shared" si="11"/>
        <v>-8</v>
      </c>
      <c r="E88" s="166">
        <f t="shared" si="12"/>
        <v>-20</v>
      </c>
      <c r="F88" s="173"/>
    </row>
    <row r="89" ht="18" customHeight="1" spans="1:8">
      <c r="A89" s="182" t="s">
        <v>533</v>
      </c>
      <c r="B89" s="99">
        <f t="shared" si="13"/>
        <v>8</v>
      </c>
      <c r="C89" s="99">
        <v>10</v>
      </c>
      <c r="D89" s="99">
        <f t="shared" si="11"/>
        <v>-2</v>
      </c>
      <c r="E89" s="166">
        <f t="shared" si="12"/>
        <v>-20</v>
      </c>
      <c r="F89" s="179"/>
    </row>
    <row r="90" ht="18" customHeight="1" spans="1:8">
      <c r="A90" s="182" t="s">
        <v>534</v>
      </c>
      <c r="B90" s="99">
        <f t="shared" si="13"/>
        <v>56</v>
      </c>
      <c r="C90" s="99">
        <v>70</v>
      </c>
      <c r="D90" s="99">
        <f t="shared" si="11"/>
        <v>-14</v>
      </c>
      <c r="E90" s="166">
        <f t="shared" si="12"/>
        <v>-20</v>
      </c>
      <c r="F90" s="173"/>
    </row>
    <row r="91" ht="18" customHeight="1" spans="1:8">
      <c r="A91" s="182" t="s">
        <v>535</v>
      </c>
      <c r="B91" s="99">
        <f t="shared" si="13"/>
        <v>40</v>
      </c>
      <c r="C91" s="99">
        <v>50</v>
      </c>
      <c r="D91" s="99">
        <f t="shared" si="11"/>
        <v>-10</v>
      </c>
      <c r="E91" s="166">
        <f t="shared" si="12"/>
        <v>-20</v>
      </c>
      <c r="F91" s="173"/>
    </row>
    <row r="92" ht="18" customHeight="1" spans="1:8">
      <c r="A92" s="182" t="s">
        <v>536</v>
      </c>
      <c r="B92" s="99">
        <f t="shared" si="13"/>
        <v>16</v>
      </c>
      <c r="C92" s="99">
        <v>20</v>
      </c>
      <c r="D92" s="99">
        <f t="shared" si="11"/>
        <v>-4</v>
      </c>
      <c r="E92" s="166">
        <f t="shared" si="12"/>
        <v>-20</v>
      </c>
      <c r="F92" s="173"/>
    </row>
    <row r="93" ht="18" customHeight="1" spans="1:8">
      <c r="A93" s="182" t="s">
        <v>537</v>
      </c>
      <c r="B93" s="99">
        <f t="shared" si="13"/>
        <v>40</v>
      </c>
      <c r="C93" s="99">
        <v>50</v>
      </c>
      <c r="D93" s="99">
        <f t="shared" si="11"/>
        <v>-10</v>
      </c>
      <c r="E93" s="166">
        <f t="shared" si="12"/>
        <v>-20</v>
      </c>
      <c r="F93" s="173"/>
    </row>
    <row r="94" ht="18" customHeight="1" spans="1:8">
      <c r="A94" s="182" t="s">
        <v>538</v>
      </c>
      <c r="B94" s="99">
        <f t="shared" si="13"/>
        <v>24</v>
      </c>
      <c r="C94" s="99">
        <v>30</v>
      </c>
      <c r="D94" s="99">
        <f t="shared" si="11"/>
        <v>-6</v>
      </c>
      <c r="E94" s="166">
        <f t="shared" si="12"/>
        <v>-20</v>
      </c>
      <c r="F94" s="173"/>
    </row>
    <row r="95" ht="18" customHeight="1" spans="1:8">
      <c r="A95" s="182" t="s">
        <v>539</v>
      </c>
      <c r="B95" s="99">
        <f t="shared" si="13"/>
        <v>24</v>
      </c>
      <c r="C95" s="99">
        <v>30</v>
      </c>
      <c r="D95" s="99">
        <f t="shared" si="11"/>
        <v>-6</v>
      </c>
      <c r="E95" s="166">
        <f t="shared" si="12"/>
        <v>-20</v>
      </c>
      <c r="F95" s="173"/>
    </row>
    <row r="96" ht="18" customHeight="1" spans="1:8">
      <c r="A96" s="182" t="s">
        <v>540</v>
      </c>
      <c r="B96" s="99">
        <f t="shared" si="13"/>
        <v>24</v>
      </c>
      <c r="C96" s="99">
        <v>30</v>
      </c>
      <c r="D96" s="99">
        <f t="shared" si="11"/>
        <v>-6</v>
      </c>
      <c r="E96" s="166">
        <f t="shared" si="12"/>
        <v>-20</v>
      </c>
      <c r="F96" s="173"/>
    </row>
    <row r="97" ht="18" customHeight="1" spans="1:8">
      <c r="A97" s="182" t="s">
        <v>541</v>
      </c>
      <c r="B97" s="99">
        <f t="shared" si="13"/>
        <v>40</v>
      </c>
      <c r="C97" s="99">
        <v>50</v>
      </c>
      <c r="D97" s="99">
        <f t="shared" si="11"/>
        <v>-10</v>
      </c>
      <c r="E97" s="166">
        <f t="shared" si="12"/>
        <v>-20</v>
      </c>
      <c r="F97" s="173"/>
    </row>
    <row r="98" ht="17.1" customHeight="1" spans="1:8">
      <c r="A98" s="182" t="s">
        <v>542</v>
      </c>
      <c r="B98" s="99">
        <f t="shared" si="13"/>
        <v>56</v>
      </c>
      <c r="C98" s="99">
        <v>70</v>
      </c>
      <c r="D98" s="99">
        <f t="shared" ref="D98:D150" si="14">B98-C98</f>
        <v>-14</v>
      </c>
      <c r="E98" s="166">
        <f t="shared" ref="E98:E127" si="15">D98/C98*100</f>
        <v>-20</v>
      </c>
      <c r="F98" s="173" t="s">
        <v>543</v>
      </c>
    </row>
    <row r="99" ht="18" customHeight="1" spans="1:8">
      <c r="A99" s="182" t="s">
        <v>544</v>
      </c>
      <c r="B99" s="99">
        <v>32</v>
      </c>
      <c r="C99" s="99">
        <v>42</v>
      </c>
      <c r="D99" s="99">
        <f t="shared" si="14"/>
        <v>-10</v>
      </c>
      <c r="E99" s="166">
        <f t="shared" si="15"/>
        <v>-23.8095238095238</v>
      </c>
      <c r="F99" s="179" t="s">
        <v>545</v>
      </c>
    </row>
    <row r="100" ht="36" customHeight="1" spans="1:8">
      <c r="A100" s="172" t="s">
        <v>546</v>
      </c>
      <c r="B100" s="99">
        <v>3200</v>
      </c>
      <c r="C100" s="99">
        <v>3500</v>
      </c>
      <c r="D100" s="99">
        <f t="shared" si="14"/>
        <v>-300</v>
      </c>
      <c r="E100" s="166">
        <f t="shared" si="15"/>
        <v>-8.57142857142857</v>
      </c>
      <c r="F100" s="173" t="s">
        <v>547</v>
      </c>
      <c r="G100" s="178"/>
      <c r="H100" s="157">
        <v>300</v>
      </c>
    </row>
    <row r="101" ht="32" customHeight="1" spans="1:8">
      <c r="A101" s="172" t="s">
        <v>548</v>
      </c>
      <c r="B101" s="99">
        <f>C101*0.8</f>
        <v>152</v>
      </c>
      <c r="C101" s="99">
        <v>190</v>
      </c>
      <c r="D101" s="99">
        <f t="shared" si="14"/>
        <v>-38</v>
      </c>
      <c r="E101" s="166">
        <f t="shared" si="15"/>
        <v>-20</v>
      </c>
      <c r="F101" s="179" t="s">
        <v>549</v>
      </c>
      <c r="G101" s="178"/>
      <c r="H101" s="157">
        <v>38</v>
      </c>
    </row>
    <row r="102" ht="18" customHeight="1" spans="1:8">
      <c r="A102" s="172" t="s">
        <v>550</v>
      </c>
      <c r="B102" s="99">
        <f>B103+B104+B108</f>
        <v>1069.6</v>
      </c>
      <c r="C102" s="99">
        <f>C103+C104+C108</f>
        <v>1089</v>
      </c>
      <c r="D102" s="99">
        <f t="shared" si="14"/>
        <v>-19.4000000000001</v>
      </c>
      <c r="E102" s="166">
        <f t="shared" si="15"/>
        <v>-1.78145087235997</v>
      </c>
      <c r="F102" s="179"/>
    </row>
    <row r="103" ht="27.95" customHeight="1" spans="1:8">
      <c r="A103" s="172" t="s">
        <v>551</v>
      </c>
      <c r="B103" s="99">
        <v>24</v>
      </c>
      <c r="C103" s="99">
        <v>32</v>
      </c>
      <c r="D103" s="99">
        <f t="shared" si="14"/>
        <v>-8</v>
      </c>
      <c r="E103" s="166">
        <f t="shared" si="15"/>
        <v>-25</v>
      </c>
      <c r="F103" s="173" t="s">
        <v>552</v>
      </c>
      <c r="H103" s="157">
        <v>8</v>
      </c>
    </row>
    <row r="104" ht="18" customHeight="1" spans="1:8">
      <c r="A104" s="172" t="s">
        <v>553</v>
      </c>
      <c r="B104" s="99">
        <f>SUM(B105:B107)</f>
        <v>45.6</v>
      </c>
      <c r="C104" s="99">
        <f>SUM(C105:C107)</f>
        <v>57</v>
      </c>
      <c r="D104" s="99">
        <f t="shared" si="14"/>
        <v>-11.4</v>
      </c>
      <c r="E104" s="166">
        <f t="shared" si="15"/>
        <v>-20</v>
      </c>
      <c r="F104" s="179"/>
      <c r="H104" s="157">
        <v>11.4</v>
      </c>
    </row>
    <row r="105" ht="18" customHeight="1" spans="1:8">
      <c r="A105" s="172" t="s">
        <v>554</v>
      </c>
      <c r="B105" s="99">
        <f>C105*0.8</f>
        <v>29.6</v>
      </c>
      <c r="C105" s="99">
        <v>37</v>
      </c>
      <c r="D105" s="99">
        <f t="shared" si="14"/>
        <v>-7.4</v>
      </c>
      <c r="E105" s="166">
        <f t="shared" si="15"/>
        <v>-20</v>
      </c>
      <c r="F105" s="179"/>
    </row>
    <row r="106" ht="18" customHeight="1" spans="1:8">
      <c r="A106" s="172" t="s">
        <v>555</v>
      </c>
      <c r="B106" s="99">
        <f>C106*0.8</f>
        <v>8</v>
      </c>
      <c r="C106" s="99">
        <v>10</v>
      </c>
      <c r="D106" s="99">
        <f t="shared" si="14"/>
        <v>-2</v>
      </c>
      <c r="E106" s="166">
        <f t="shared" si="15"/>
        <v>-20</v>
      </c>
      <c r="F106" s="179"/>
    </row>
    <row r="107" ht="18" customHeight="1" spans="1:8">
      <c r="A107" s="172" t="s">
        <v>556</v>
      </c>
      <c r="B107" s="99">
        <f>C107*0.8</f>
        <v>8</v>
      </c>
      <c r="C107" s="99">
        <v>10</v>
      </c>
      <c r="D107" s="99">
        <f t="shared" si="14"/>
        <v>-2</v>
      </c>
      <c r="E107" s="166">
        <f t="shared" si="15"/>
        <v>-20</v>
      </c>
      <c r="F107" s="179"/>
    </row>
    <row r="108" ht="48.95" customHeight="1" spans="1:8">
      <c r="A108" s="172" t="s">
        <v>557</v>
      </c>
      <c r="B108" s="99">
        <v>1000</v>
      </c>
      <c r="C108" s="99">
        <v>1000</v>
      </c>
      <c r="D108" s="99">
        <f t="shared" si="14"/>
        <v>0</v>
      </c>
      <c r="E108" s="166">
        <f t="shared" si="15"/>
        <v>0</v>
      </c>
      <c r="F108" s="180" t="s">
        <v>558</v>
      </c>
    </row>
    <row r="109" ht="18" customHeight="1" spans="1:8">
      <c r="A109" s="172" t="s">
        <v>559</v>
      </c>
      <c r="B109" s="99">
        <f>SUM(B110,B112:B117)</f>
        <v>532.4</v>
      </c>
      <c r="C109" s="99">
        <f>SUM(C110,C112:C117)</f>
        <v>664</v>
      </c>
      <c r="D109" s="99">
        <f t="shared" si="14"/>
        <v>-131.6</v>
      </c>
      <c r="E109" s="166">
        <f t="shared" si="15"/>
        <v>-19.8192771084337</v>
      </c>
      <c r="F109" s="179"/>
      <c r="H109" s="157">
        <v>131.6</v>
      </c>
    </row>
    <row r="110" ht="18" customHeight="1" spans="1:8">
      <c r="A110" s="172" t="s">
        <v>560</v>
      </c>
      <c r="B110" s="99">
        <v>160</v>
      </c>
      <c r="C110" s="99">
        <f>SUM(C111:C111)</f>
        <v>203</v>
      </c>
      <c r="D110" s="99">
        <f t="shared" si="14"/>
        <v>-43</v>
      </c>
      <c r="E110" s="166">
        <f t="shared" si="15"/>
        <v>-21.1822660098522</v>
      </c>
      <c r="F110" s="179"/>
    </row>
    <row r="111" ht="18" customHeight="1" spans="1:8">
      <c r="A111" s="172" t="s">
        <v>561</v>
      </c>
      <c r="B111" s="99">
        <v>160</v>
      </c>
      <c r="C111" s="99">
        <v>203</v>
      </c>
      <c r="D111" s="99">
        <f t="shared" si="14"/>
        <v>-43</v>
      </c>
      <c r="E111" s="166">
        <f t="shared" si="15"/>
        <v>-21.1822660098522</v>
      </c>
      <c r="F111" s="179" t="s">
        <v>562</v>
      </c>
    </row>
    <row r="112" ht="18" customHeight="1" spans="1:8">
      <c r="A112" s="172" t="s">
        <v>563</v>
      </c>
      <c r="B112" s="99">
        <f t="shared" ref="B112:B117" si="16">C112*0.8</f>
        <v>166.4</v>
      </c>
      <c r="C112" s="99">
        <v>208</v>
      </c>
      <c r="D112" s="99">
        <f t="shared" si="14"/>
        <v>-41.6</v>
      </c>
      <c r="E112" s="166">
        <f t="shared" si="15"/>
        <v>-20</v>
      </c>
      <c r="F112" s="179" t="s">
        <v>564</v>
      </c>
    </row>
    <row r="113" ht="18" customHeight="1" spans="1:8">
      <c r="A113" s="176" t="s">
        <v>565</v>
      </c>
      <c r="B113" s="99">
        <v>18</v>
      </c>
      <c r="C113" s="99">
        <v>18</v>
      </c>
      <c r="D113" s="99">
        <f t="shared" si="14"/>
        <v>0</v>
      </c>
      <c r="E113" s="166">
        <f t="shared" si="15"/>
        <v>0</v>
      </c>
      <c r="F113" s="179" t="s">
        <v>566</v>
      </c>
    </row>
    <row r="114" ht="18" customHeight="1" spans="1:8">
      <c r="A114" s="172" t="s">
        <v>567</v>
      </c>
      <c r="B114" s="99">
        <f t="shared" si="16"/>
        <v>16</v>
      </c>
      <c r="C114" s="99">
        <v>20</v>
      </c>
      <c r="D114" s="99">
        <f t="shared" si="14"/>
        <v>-4</v>
      </c>
      <c r="E114" s="166">
        <f t="shared" si="15"/>
        <v>-20</v>
      </c>
      <c r="F114" s="179"/>
    </row>
    <row r="115" ht="18" customHeight="1" spans="1:8">
      <c r="A115" s="172" t="s">
        <v>568</v>
      </c>
      <c r="B115" s="99">
        <f t="shared" si="16"/>
        <v>28</v>
      </c>
      <c r="C115" s="99">
        <v>35</v>
      </c>
      <c r="D115" s="99">
        <f t="shared" si="14"/>
        <v>-7</v>
      </c>
      <c r="E115" s="166">
        <f t="shared" si="15"/>
        <v>-20</v>
      </c>
      <c r="F115" s="179"/>
    </row>
    <row r="116" ht="18" customHeight="1" spans="1:8">
      <c r="A116" s="172" t="s">
        <v>569</v>
      </c>
      <c r="B116" s="99">
        <f t="shared" si="16"/>
        <v>40</v>
      </c>
      <c r="C116" s="99">
        <v>50</v>
      </c>
      <c r="D116" s="99">
        <f t="shared" si="14"/>
        <v>-10</v>
      </c>
      <c r="E116" s="166">
        <f t="shared" si="15"/>
        <v>-20</v>
      </c>
      <c r="F116" s="179" t="s">
        <v>570</v>
      </c>
    </row>
    <row r="117" ht="18" customHeight="1" spans="1:8">
      <c r="A117" s="172" t="s">
        <v>571</v>
      </c>
      <c r="B117" s="99">
        <f t="shared" si="16"/>
        <v>104</v>
      </c>
      <c r="C117" s="99">
        <v>130</v>
      </c>
      <c r="D117" s="99">
        <f t="shared" si="14"/>
        <v>-26</v>
      </c>
      <c r="E117" s="166">
        <f t="shared" si="15"/>
        <v>-20</v>
      </c>
      <c r="F117" s="179" t="s">
        <v>572</v>
      </c>
    </row>
    <row r="118" ht="18" customHeight="1" spans="1:8">
      <c r="A118" s="172" t="s">
        <v>573</v>
      </c>
      <c r="B118" s="99">
        <f>B119</f>
        <v>400</v>
      </c>
      <c r="C118" s="99">
        <f>C119</f>
        <v>400</v>
      </c>
      <c r="D118" s="99">
        <f t="shared" si="14"/>
        <v>0</v>
      </c>
      <c r="E118" s="166">
        <f t="shared" si="15"/>
        <v>0</v>
      </c>
      <c r="F118" s="179"/>
    </row>
    <row r="119" s="153" customFormat="1" ht="29.1" customHeight="1" spans="1:8">
      <c r="A119" s="182" t="s">
        <v>574</v>
      </c>
      <c r="B119" s="99">
        <v>400</v>
      </c>
      <c r="C119" s="99">
        <v>400</v>
      </c>
      <c r="D119" s="99">
        <f t="shared" si="14"/>
        <v>0</v>
      </c>
      <c r="E119" s="166">
        <f t="shared" si="15"/>
        <v>0</v>
      </c>
      <c r="F119" s="180" t="s">
        <v>575</v>
      </c>
      <c r="G119" s="156"/>
      <c r="H119" s="157"/>
    </row>
    <row r="120" s="153" customFormat="1" ht="18" customHeight="1" spans="1:8">
      <c r="A120" s="182" t="s">
        <v>576</v>
      </c>
      <c r="B120" s="99">
        <f>C120*0.8</f>
        <v>32</v>
      </c>
      <c r="C120" s="99">
        <v>40</v>
      </c>
      <c r="D120" s="99">
        <f t="shared" si="14"/>
        <v>-8</v>
      </c>
      <c r="E120" s="166">
        <f t="shared" si="15"/>
        <v>-20</v>
      </c>
      <c r="F120" s="179"/>
      <c r="G120" s="156"/>
      <c r="H120" s="157">
        <v>8</v>
      </c>
    </row>
    <row r="121" s="153" customFormat="1" ht="18" customHeight="1" spans="1:8">
      <c r="A121" s="182" t="s">
        <v>577</v>
      </c>
      <c r="B121" s="99">
        <v>12</v>
      </c>
      <c r="C121" s="99">
        <v>17.5</v>
      </c>
      <c r="D121" s="99">
        <f t="shared" si="14"/>
        <v>-5.5</v>
      </c>
      <c r="E121" s="166">
        <f t="shared" si="15"/>
        <v>-31.4285714285714</v>
      </c>
      <c r="F121" s="179" t="s">
        <v>578</v>
      </c>
      <c r="G121" s="156"/>
      <c r="H121" s="157">
        <v>5.5</v>
      </c>
    </row>
    <row r="122" s="153" customFormat="1" ht="18" customHeight="1" spans="1:8">
      <c r="A122" s="182" t="s">
        <v>579</v>
      </c>
      <c r="B122" s="99">
        <f t="shared" ref="B121:B126" si="17">C122*0.8</f>
        <v>8</v>
      </c>
      <c r="C122" s="99">
        <v>10</v>
      </c>
      <c r="D122" s="99">
        <f t="shared" si="14"/>
        <v>-2</v>
      </c>
      <c r="E122" s="166">
        <f t="shared" si="15"/>
        <v>-20</v>
      </c>
      <c r="F122" s="179"/>
      <c r="G122" s="156"/>
      <c r="H122" s="157">
        <v>2</v>
      </c>
    </row>
    <row r="123" s="153" customFormat="1" ht="18" customHeight="1" spans="1:8">
      <c r="A123" s="182" t="s">
        <v>580</v>
      </c>
      <c r="B123" s="99">
        <f t="shared" si="17"/>
        <v>8</v>
      </c>
      <c r="C123" s="99">
        <v>10</v>
      </c>
      <c r="D123" s="99">
        <f t="shared" si="14"/>
        <v>-2</v>
      </c>
      <c r="E123" s="166">
        <f t="shared" si="15"/>
        <v>-20</v>
      </c>
      <c r="F123" s="179"/>
      <c r="G123" s="156"/>
      <c r="H123" s="157">
        <v>2</v>
      </c>
    </row>
    <row r="124" s="153" customFormat="1" ht="18" customHeight="1" spans="1:8">
      <c r="A124" s="182" t="s">
        <v>581</v>
      </c>
      <c r="B124" s="99">
        <f t="shared" si="17"/>
        <v>8</v>
      </c>
      <c r="C124" s="99">
        <v>10</v>
      </c>
      <c r="D124" s="99">
        <f t="shared" si="14"/>
        <v>-2</v>
      </c>
      <c r="E124" s="166">
        <f t="shared" si="15"/>
        <v>-20</v>
      </c>
      <c r="F124" s="179"/>
      <c r="G124" s="156"/>
      <c r="H124" s="157">
        <v>2</v>
      </c>
    </row>
    <row r="125" s="153" customFormat="1" ht="18" customHeight="1" spans="1:8">
      <c r="A125" s="182" t="s">
        <v>582</v>
      </c>
      <c r="B125" s="99">
        <f t="shared" si="17"/>
        <v>8</v>
      </c>
      <c r="C125" s="99">
        <v>10</v>
      </c>
      <c r="D125" s="99">
        <f t="shared" si="14"/>
        <v>-2</v>
      </c>
      <c r="E125" s="166">
        <f t="shared" si="15"/>
        <v>-20</v>
      </c>
      <c r="F125" s="179"/>
      <c r="G125" s="156"/>
      <c r="H125" s="157">
        <v>2</v>
      </c>
    </row>
    <row r="126" s="153" customFormat="1" ht="18" customHeight="1" spans="1:8">
      <c r="A126" s="182" t="s">
        <v>583</v>
      </c>
      <c r="B126" s="99">
        <f t="shared" si="17"/>
        <v>8</v>
      </c>
      <c r="C126" s="99">
        <v>10</v>
      </c>
      <c r="D126" s="99">
        <f t="shared" si="14"/>
        <v>-2</v>
      </c>
      <c r="E126" s="166">
        <f t="shared" si="15"/>
        <v>-20</v>
      </c>
      <c r="F126" s="173" t="s">
        <v>584</v>
      </c>
      <c r="G126" s="156"/>
      <c r="H126" s="157">
        <v>2</v>
      </c>
    </row>
    <row r="127" s="153" customFormat="1" ht="18" customHeight="1" spans="1:8">
      <c r="A127" s="182" t="s">
        <v>585</v>
      </c>
      <c r="B127" s="99">
        <v>54</v>
      </c>
      <c r="C127" s="99">
        <v>60</v>
      </c>
      <c r="D127" s="99">
        <f t="shared" si="14"/>
        <v>-6</v>
      </c>
      <c r="E127" s="166">
        <f t="shared" si="15"/>
        <v>-10</v>
      </c>
      <c r="F127" s="173" t="s">
        <v>586</v>
      </c>
      <c r="G127" s="156"/>
      <c r="H127" s="157">
        <v>6</v>
      </c>
    </row>
    <row r="128" s="153" customFormat="1" ht="18" customHeight="1" spans="1:8">
      <c r="A128" s="172" t="s">
        <v>587</v>
      </c>
      <c r="B128" s="99">
        <v>108</v>
      </c>
      <c r="C128" s="99">
        <v>10</v>
      </c>
      <c r="D128" s="99">
        <f t="shared" si="14"/>
        <v>98</v>
      </c>
      <c r="E128" s="166">
        <f t="shared" ref="E128:E136" si="18">D128/C128*100</f>
        <v>980</v>
      </c>
      <c r="F128" s="179" t="s">
        <v>588</v>
      </c>
      <c r="G128" s="156"/>
      <c r="H128" s="157">
        <v>2</v>
      </c>
    </row>
    <row r="129" s="153" customFormat="1" ht="18" customHeight="1" spans="1:8">
      <c r="A129" s="172" t="s">
        <v>589</v>
      </c>
      <c r="B129" s="99">
        <f>SUM(B130:B136)</f>
        <v>341.4</v>
      </c>
      <c r="C129" s="99">
        <f>SUM(C130:C136)</f>
        <v>423</v>
      </c>
      <c r="D129" s="99">
        <f t="shared" si="14"/>
        <v>-81.6</v>
      </c>
      <c r="E129" s="166">
        <f t="shared" si="18"/>
        <v>-19.290780141844</v>
      </c>
      <c r="F129" s="179"/>
      <c r="G129" s="156"/>
      <c r="H129" s="157">
        <v>81.6</v>
      </c>
    </row>
    <row r="130" s="153" customFormat="1" ht="18" customHeight="1" spans="1:8">
      <c r="A130" s="172" t="s">
        <v>590</v>
      </c>
      <c r="B130" s="99">
        <f t="shared" ref="B130:B135" si="19">C130*0.8</f>
        <v>80</v>
      </c>
      <c r="C130" s="99">
        <v>100</v>
      </c>
      <c r="D130" s="99">
        <f t="shared" si="14"/>
        <v>-20</v>
      </c>
      <c r="E130" s="166">
        <f t="shared" si="18"/>
        <v>-20</v>
      </c>
      <c r="F130" s="179" t="s">
        <v>591</v>
      </c>
      <c r="G130" s="156"/>
      <c r="H130" s="157"/>
    </row>
    <row r="131" s="153" customFormat="1" ht="18" customHeight="1" spans="1:8">
      <c r="A131" s="172" t="s">
        <v>592</v>
      </c>
      <c r="B131" s="99">
        <f t="shared" si="19"/>
        <v>16</v>
      </c>
      <c r="C131" s="99">
        <v>20</v>
      </c>
      <c r="D131" s="99">
        <f t="shared" si="14"/>
        <v>-4</v>
      </c>
      <c r="E131" s="166">
        <f t="shared" si="18"/>
        <v>-20</v>
      </c>
      <c r="F131" s="179"/>
      <c r="G131" s="156"/>
      <c r="H131" s="157"/>
    </row>
    <row r="132" s="153" customFormat="1" ht="18" customHeight="1" spans="1:8">
      <c r="A132" s="172" t="s">
        <v>593</v>
      </c>
      <c r="B132" s="99">
        <f t="shared" si="19"/>
        <v>16</v>
      </c>
      <c r="C132" s="99">
        <v>20</v>
      </c>
      <c r="D132" s="99">
        <f t="shared" si="14"/>
        <v>-4</v>
      </c>
      <c r="E132" s="166">
        <f t="shared" si="18"/>
        <v>-20</v>
      </c>
      <c r="F132" s="179"/>
      <c r="G132" s="156"/>
      <c r="H132" s="157"/>
    </row>
    <row r="133" s="153" customFormat="1" ht="18" customHeight="1" spans="1:8">
      <c r="A133" s="183" t="s">
        <v>594</v>
      </c>
      <c r="B133" s="99">
        <f t="shared" si="19"/>
        <v>102.4</v>
      </c>
      <c r="C133" s="184">
        <v>128</v>
      </c>
      <c r="D133" s="99">
        <f t="shared" si="14"/>
        <v>-25.6</v>
      </c>
      <c r="E133" s="166">
        <f t="shared" si="18"/>
        <v>-20</v>
      </c>
      <c r="F133" s="185" t="s">
        <v>595</v>
      </c>
      <c r="G133" s="156"/>
      <c r="H133" s="157"/>
    </row>
    <row r="134" s="153" customFormat="1" ht="18" customHeight="1" spans="1:8">
      <c r="A134" s="183" t="s">
        <v>596</v>
      </c>
      <c r="B134" s="99">
        <f t="shared" si="19"/>
        <v>8</v>
      </c>
      <c r="C134" s="184">
        <v>10</v>
      </c>
      <c r="D134" s="99">
        <f t="shared" si="14"/>
        <v>-2</v>
      </c>
      <c r="E134" s="166">
        <f t="shared" si="18"/>
        <v>-20</v>
      </c>
      <c r="F134" s="186" t="s">
        <v>597</v>
      </c>
      <c r="G134" s="156"/>
      <c r="H134" s="157"/>
    </row>
    <row r="135" s="153" customFormat="1" ht="30" customHeight="1" spans="1:8">
      <c r="A135" s="183" t="s">
        <v>598</v>
      </c>
      <c r="B135" s="99">
        <f t="shared" si="19"/>
        <v>104</v>
      </c>
      <c r="C135" s="184">
        <v>130</v>
      </c>
      <c r="D135" s="99">
        <f t="shared" si="14"/>
        <v>-26</v>
      </c>
      <c r="E135" s="166">
        <f t="shared" si="18"/>
        <v>-20</v>
      </c>
      <c r="F135" s="185" t="s">
        <v>599</v>
      </c>
      <c r="G135" s="156"/>
      <c r="H135" s="157"/>
    </row>
    <row r="136" s="153" customFormat="1" ht="18" customHeight="1" spans="1:8">
      <c r="A136" s="182" t="s">
        <v>600</v>
      </c>
      <c r="B136" s="99">
        <v>15</v>
      </c>
      <c r="C136" s="99">
        <v>15</v>
      </c>
      <c r="D136" s="99">
        <f t="shared" si="14"/>
        <v>0</v>
      </c>
      <c r="E136" s="166">
        <f t="shared" si="18"/>
        <v>0</v>
      </c>
      <c r="F136" s="179" t="s">
        <v>601</v>
      </c>
      <c r="G136" s="156"/>
      <c r="H136" s="157"/>
    </row>
    <row r="137" s="153" customFormat="1" ht="18" customHeight="1" spans="1:8">
      <c r="A137" s="172" t="s">
        <v>602</v>
      </c>
      <c r="B137" s="99">
        <f>B138+B152+B161+B179+B187+B197+B202+B205</f>
        <v>880.5</v>
      </c>
      <c r="C137" s="99">
        <f>C138+C152+C161+C179+C187+C197+C202+C205</f>
        <v>1135.5</v>
      </c>
      <c r="D137" s="99">
        <f t="shared" si="14"/>
        <v>-255</v>
      </c>
      <c r="E137" s="166">
        <f t="shared" ref="E137:E150" si="20">D137/C137*100</f>
        <v>-22.4570673712021</v>
      </c>
      <c r="F137" s="179"/>
      <c r="G137" s="156"/>
      <c r="H137" s="157"/>
    </row>
    <row r="138" s="153" customFormat="1" ht="18" customHeight="1" spans="1:8">
      <c r="A138" s="172" t="s">
        <v>603</v>
      </c>
      <c r="B138" s="99">
        <f>SUM(B139:B151)</f>
        <v>139.2</v>
      </c>
      <c r="C138" s="99">
        <f>SUM(C139:C151)</f>
        <v>193</v>
      </c>
      <c r="D138" s="99">
        <f t="shared" si="14"/>
        <v>-53.8</v>
      </c>
      <c r="E138" s="166">
        <f t="shared" si="20"/>
        <v>-27.8756476683938</v>
      </c>
      <c r="F138" s="179"/>
      <c r="G138" s="156"/>
      <c r="H138" s="157">
        <v>53.2</v>
      </c>
    </row>
    <row r="139" s="153" customFormat="1" ht="18" customHeight="1" spans="1:8">
      <c r="A139" s="172" t="s">
        <v>604</v>
      </c>
      <c r="B139" s="99">
        <f>C139*0.8</f>
        <v>16</v>
      </c>
      <c r="C139" s="99">
        <v>20</v>
      </c>
      <c r="D139" s="99">
        <f t="shared" si="14"/>
        <v>-4</v>
      </c>
      <c r="E139" s="166">
        <f t="shared" si="20"/>
        <v>-20</v>
      </c>
      <c r="F139" s="179"/>
      <c r="G139" s="156"/>
      <c r="H139" s="157"/>
    </row>
    <row r="140" s="153" customFormat="1" ht="18" customHeight="1" spans="1:8">
      <c r="A140" s="172" t="s">
        <v>605</v>
      </c>
      <c r="B140" s="99">
        <f t="shared" ref="B140:B150" si="21">C140*0.8</f>
        <v>24</v>
      </c>
      <c r="C140" s="99">
        <v>30</v>
      </c>
      <c r="D140" s="99">
        <f t="shared" si="14"/>
        <v>-6</v>
      </c>
      <c r="E140" s="166">
        <f t="shared" si="20"/>
        <v>-20</v>
      </c>
      <c r="F140" s="179"/>
      <c r="G140" s="156"/>
      <c r="H140" s="157"/>
    </row>
    <row r="141" s="153" customFormat="1" ht="18" customHeight="1" spans="1:8">
      <c r="A141" s="172" t="s">
        <v>606</v>
      </c>
      <c r="B141" s="99">
        <f t="shared" si="21"/>
        <v>6.4</v>
      </c>
      <c r="C141" s="99">
        <v>8</v>
      </c>
      <c r="D141" s="99">
        <f t="shared" si="14"/>
        <v>-1.6</v>
      </c>
      <c r="E141" s="166">
        <f t="shared" si="20"/>
        <v>-20</v>
      </c>
      <c r="F141" s="179"/>
      <c r="G141" s="156"/>
      <c r="H141" s="157"/>
    </row>
    <row r="142" s="153" customFormat="1" ht="18" customHeight="1" spans="1:8">
      <c r="A142" s="172" t="s">
        <v>607</v>
      </c>
      <c r="B142" s="99">
        <f t="shared" si="21"/>
        <v>4</v>
      </c>
      <c r="C142" s="99">
        <v>5</v>
      </c>
      <c r="D142" s="99">
        <f t="shared" si="14"/>
        <v>-1</v>
      </c>
      <c r="E142" s="166">
        <f t="shared" si="20"/>
        <v>-20</v>
      </c>
      <c r="F142" s="179"/>
      <c r="G142" s="156"/>
      <c r="H142" s="157"/>
    </row>
    <row r="143" s="153" customFormat="1" ht="18" customHeight="1" spans="1:8">
      <c r="A143" s="172" t="s">
        <v>608</v>
      </c>
      <c r="B143" s="99">
        <f t="shared" si="21"/>
        <v>4</v>
      </c>
      <c r="C143" s="99">
        <v>5</v>
      </c>
      <c r="D143" s="99">
        <f t="shared" si="14"/>
        <v>-1</v>
      </c>
      <c r="E143" s="166">
        <f t="shared" si="20"/>
        <v>-20</v>
      </c>
      <c r="F143" s="179"/>
      <c r="G143" s="156"/>
      <c r="H143" s="157"/>
    </row>
    <row r="144" s="153" customFormat="1" ht="18" customHeight="1" spans="1:8">
      <c r="A144" s="172" t="s">
        <v>478</v>
      </c>
      <c r="B144" s="99">
        <f t="shared" si="21"/>
        <v>12</v>
      </c>
      <c r="C144" s="99">
        <v>15</v>
      </c>
      <c r="D144" s="99">
        <f t="shared" si="14"/>
        <v>-3</v>
      </c>
      <c r="E144" s="166">
        <f t="shared" si="20"/>
        <v>-20</v>
      </c>
      <c r="F144" s="179"/>
      <c r="G144" s="156"/>
      <c r="H144" s="157"/>
    </row>
    <row r="145" s="153" customFormat="1" ht="18" customHeight="1" spans="1:8">
      <c r="A145" s="172" t="s">
        <v>609</v>
      </c>
      <c r="B145" s="99">
        <f t="shared" si="21"/>
        <v>4</v>
      </c>
      <c r="C145" s="99">
        <v>5</v>
      </c>
      <c r="D145" s="99">
        <f t="shared" si="14"/>
        <v>-1</v>
      </c>
      <c r="E145" s="166">
        <f t="shared" si="20"/>
        <v>-20</v>
      </c>
      <c r="F145" s="179"/>
      <c r="G145" s="156"/>
      <c r="H145" s="157"/>
    </row>
    <row r="146" s="153" customFormat="1" ht="18" customHeight="1" spans="1:8">
      <c r="A146" s="172" t="s">
        <v>481</v>
      </c>
      <c r="B146" s="99">
        <f t="shared" si="21"/>
        <v>24</v>
      </c>
      <c r="C146" s="99">
        <v>30</v>
      </c>
      <c r="D146" s="99">
        <f t="shared" si="14"/>
        <v>-6</v>
      </c>
      <c r="E146" s="166">
        <f t="shared" si="20"/>
        <v>-20</v>
      </c>
      <c r="F146" s="179"/>
      <c r="G146" s="156"/>
      <c r="H146" s="157"/>
    </row>
    <row r="147" s="153" customFormat="1" ht="45" customHeight="1" spans="1:8">
      <c r="A147" s="172" t="s">
        <v>610</v>
      </c>
      <c r="B147" s="99">
        <f t="shared" si="21"/>
        <v>24</v>
      </c>
      <c r="C147" s="99">
        <v>30</v>
      </c>
      <c r="D147" s="99">
        <f t="shared" si="14"/>
        <v>-6</v>
      </c>
      <c r="E147" s="166">
        <f t="shared" si="20"/>
        <v>-20</v>
      </c>
      <c r="F147" s="179" t="s">
        <v>477</v>
      </c>
      <c r="G147" s="156"/>
      <c r="H147" s="157"/>
    </row>
    <row r="148" s="153" customFormat="1" ht="18" customHeight="1" spans="1:8">
      <c r="A148" s="172" t="s">
        <v>611</v>
      </c>
      <c r="B148" s="99">
        <f t="shared" si="21"/>
        <v>2.4</v>
      </c>
      <c r="C148" s="99">
        <v>3</v>
      </c>
      <c r="D148" s="99">
        <f t="shared" si="14"/>
        <v>-0.6</v>
      </c>
      <c r="E148" s="166">
        <f t="shared" si="20"/>
        <v>-20</v>
      </c>
      <c r="F148" s="179"/>
      <c r="G148" s="156"/>
      <c r="H148" s="157"/>
    </row>
    <row r="149" s="153" customFormat="1" ht="18" customHeight="1" spans="1:8">
      <c r="A149" s="172" t="s">
        <v>612</v>
      </c>
      <c r="B149" s="99">
        <f t="shared" si="21"/>
        <v>2.4</v>
      </c>
      <c r="C149" s="99">
        <v>3</v>
      </c>
      <c r="D149" s="99">
        <f t="shared" si="14"/>
        <v>-0.6</v>
      </c>
      <c r="E149" s="166">
        <f t="shared" si="20"/>
        <v>-20</v>
      </c>
      <c r="F149" s="179" t="s">
        <v>613</v>
      </c>
      <c r="G149" s="156"/>
      <c r="H149" s="157"/>
    </row>
    <row r="150" s="153" customFormat="1" ht="18" customHeight="1" spans="1:8">
      <c r="A150" s="172" t="s">
        <v>614</v>
      </c>
      <c r="B150" s="99"/>
      <c r="C150" s="99">
        <v>19</v>
      </c>
      <c r="D150" s="99">
        <f t="shared" si="14"/>
        <v>-19</v>
      </c>
      <c r="E150" s="166">
        <f t="shared" si="20"/>
        <v>-100</v>
      </c>
      <c r="F150" s="179" t="s">
        <v>445</v>
      </c>
      <c r="G150" s="156"/>
      <c r="H150" s="157"/>
    </row>
    <row r="151" s="153" customFormat="1" ht="18" customHeight="1" spans="1:8">
      <c r="A151" s="172" t="s">
        <v>615</v>
      </c>
      <c r="B151" s="99">
        <f>C151*0.8</f>
        <v>16</v>
      </c>
      <c r="C151" s="99">
        <v>20</v>
      </c>
      <c r="D151" s="99">
        <f t="shared" ref="D151:D159" si="22">B151-C151</f>
        <v>-4</v>
      </c>
      <c r="E151" s="166">
        <f t="shared" ref="E151:E159" si="23">D151/C151*100</f>
        <v>-20</v>
      </c>
      <c r="F151" s="179"/>
      <c r="G151" s="156"/>
      <c r="H151" s="157"/>
    </row>
    <row r="152" s="153" customFormat="1" ht="18" customHeight="1" spans="1:8">
      <c r="A152" s="172" t="s">
        <v>616</v>
      </c>
      <c r="B152" s="99">
        <f>SUM(B153:B160)</f>
        <v>41.6</v>
      </c>
      <c r="C152" s="99">
        <f>SUM(C153:C160)</f>
        <v>55</v>
      </c>
      <c r="D152" s="99">
        <f t="shared" si="22"/>
        <v>-13.4</v>
      </c>
      <c r="E152" s="166">
        <f t="shared" si="23"/>
        <v>-24.3636363636364</v>
      </c>
      <c r="F152" s="179"/>
      <c r="G152" s="156"/>
      <c r="H152" s="157">
        <v>13.4</v>
      </c>
    </row>
    <row r="153" s="153" customFormat="1" ht="18" customHeight="1" spans="1:8">
      <c r="A153" s="172" t="s">
        <v>617</v>
      </c>
      <c r="B153" s="99">
        <f>C153*0.8</f>
        <v>3.2</v>
      </c>
      <c r="C153" s="99">
        <v>4</v>
      </c>
      <c r="D153" s="99">
        <f t="shared" si="22"/>
        <v>-0.8</v>
      </c>
      <c r="E153" s="166">
        <f t="shared" si="23"/>
        <v>-20</v>
      </c>
      <c r="F153" s="179"/>
      <c r="G153" s="156"/>
      <c r="H153" s="157"/>
    </row>
    <row r="154" s="153" customFormat="1" ht="18" customHeight="1" spans="1:8">
      <c r="A154" s="172" t="s">
        <v>618</v>
      </c>
      <c r="B154" s="99">
        <f t="shared" ref="B154:B160" si="24">C154*0.8</f>
        <v>6.4</v>
      </c>
      <c r="C154" s="99">
        <v>8</v>
      </c>
      <c r="D154" s="99">
        <f t="shared" si="22"/>
        <v>-1.6</v>
      </c>
      <c r="E154" s="166">
        <f t="shared" si="23"/>
        <v>-20</v>
      </c>
      <c r="F154" s="179"/>
      <c r="G154" s="156"/>
      <c r="H154" s="157"/>
    </row>
    <row r="155" s="153" customFormat="1" ht="18" customHeight="1" spans="1:8">
      <c r="A155" s="172" t="s">
        <v>619</v>
      </c>
      <c r="B155" s="99">
        <f t="shared" si="24"/>
        <v>3.2</v>
      </c>
      <c r="C155" s="99">
        <v>4</v>
      </c>
      <c r="D155" s="99">
        <f t="shared" si="22"/>
        <v>-0.8</v>
      </c>
      <c r="E155" s="166">
        <f t="shared" si="23"/>
        <v>-20</v>
      </c>
      <c r="F155" s="179"/>
      <c r="G155" s="156"/>
      <c r="H155" s="157"/>
    </row>
    <row r="156" s="153" customFormat="1" ht="18" customHeight="1" spans="1:8">
      <c r="A156" s="172" t="s">
        <v>620</v>
      </c>
      <c r="B156" s="99">
        <f t="shared" si="24"/>
        <v>6.4</v>
      </c>
      <c r="C156" s="99">
        <v>8</v>
      </c>
      <c r="D156" s="99">
        <f t="shared" si="22"/>
        <v>-1.6</v>
      </c>
      <c r="E156" s="166">
        <f t="shared" si="23"/>
        <v>-20</v>
      </c>
      <c r="F156" s="179"/>
      <c r="G156" s="156"/>
      <c r="H156" s="157"/>
    </row>
    <row r="157" s="153" customFormat="1" ht="18" customHeight="1" spans="1:8">
      <c r="A157" s="172" t="s">
        <v>621</v>
      </c>
      <c r="B157" s="99">
        <f t="shared" si="24"/>
        <v>4</v>
      </c>
      <c r="C157" s="99">
        <v>5</v>
      </c>
      <c r="D157" s="99">
        <f t="shared" si="22"/>
        <v>-1</v>
      </c>
      <c r="E157" s="166">
        <f t="shared" si="23"/>
        <v>-20</v>
      </c>
      <c r="F157" s="179"/>
      <c r="G157" s="156"/>
      <c r="H157" s="157"/>
    </row>
    <row r="158" s="153" customFormat="1" ht="18" customHeight="1" spans="1:8">
      <c r="A158" s="172" t="s">
        <v>622</v>
      </c>
      <c r="B158" s="99">
        <f t="shared" si="24"/>
        <v>2.4</v>
      </c>
      <c r="C158" s="99">
        <v>3</v>
      </c>
      <c r="D158" s="99">
        <f t="shared" si="22"/>
        <v>-0.6</v>
      </c>
      <c r="E158" s="166">
        <f t="shared" si="23"/>
        <v>-20</v>
      </c>
      <c r="F158" s="179"/>
      <c r="G158" s="156"/>
      <c r="H158" s="157"/>
    </row>
    <row r="159" s="153" customFormat="1" ht="18" customHeight="1" spans="1:8">
      <c r="A159" s="172" t="s">
        <v>623</v>
      </c>
      <c r="B159" s="99"/>
      <c r="C159" s="99">
        <v>3</v>
      </c>
      <c r="D159" s="99">
        <f t="shared" si="22"/>
        <v>-3</v>
      </c>
      <c r="E159" s="166">
        <f t="shared" si="23"/>
        <v>-100</v>
      </c>
      <c r="F159" s="179" t="s">
        <v>445</v>
      </c>
      <c r="G159" s="156"/>
      <c r="H159" s="157"/>
    </row>
    <row r="160" s="153" customFormat="1" ht="18" customHeight="1" spans="1:8">
      <c r="A160" s="172" t="s">
        <v>624</v>
      </c>
      <c r="B160" s="99">
        <f t="shared" si="24"/>
        <v>16</v>
      </c>
      <c r="C160" s="99">
        <v>20</v>
      </c>
      <c r="D160" s="99">
        <f t="shared" ref="D160:D176" si="25">B160-C160</f>
        <v>-4</v>
      </c>
      <c r="E160" s="166">
        <f t="shared" ref="E160:E176" si="26">D160/C160*100</f>
        <v>-20</v>
      </c>
      <c r="F160" s="179"/>
      <c r="G160" s="156"/>
      <c r="H160" s="157"/>
    </row>
    <row r="161" s="153" customFormat="1" ht="18" customHeight="1" spans="1:8">
      <c r="A161" s="172" t="s">
        <v>625</v>
      </c>
      <c r="B161" s="99">
        <f>SUM(B162:B178)</f>
        <v>436.4</v>
      </c>
      <c r="C161" s="99">
        <f>SUM(C162:C178)</f>
        <v>579.9</v>
      </c>
      <c r="D161" s="99">
        <f t="shared" si="25"/>
        <v>-143.5</v>
      </c>
      <c r="E161" s="166">
        <f t="shared" si="26"/>
        <v>-24.7456458010002</v>
      </c>
      <c r="F161" s="179"/>
      <c r="G161" s="156"/>
      <c r="H161" s="157">
        <v>143.5</v>
      </c>
    </row>
    <row r="162" s="153" customFormat="1" ht="18" customHeight="1" spans="1:8">
      <c r="A162" s="172" t="s">
        <v>626</v>
      </c>
      <c r="B162" s="99">
        <f>C162*0.8</f>
        <v>4.8</v>
      </c>
      <c r="C162" s="99">
        <v>6</v>
      </c>
      <c r="D162" s="99">
        <f t="shared" si="25"/>
        <v>-1.2</v>
      </c>
      <c r="E162" s="166">
        <f t="shared" si="26"/>
        <v>-20</v>
      </c>
      <c r="F162" s="179"/>
      <c r="G162" s="156"/>
      <c r="H162" s="157"/>
    </row>
    <row r="163" s="153" customFormat="1" ht="18" customHeight="1" spans="1:8">
      <c r="A163" s="172" t="s">
        <v>627</v>
      </c>
      <c r="B163" s="99">
        <f t="shared" ref="B163:B173" si="27">C163*0.8</f>
        <v>2.4</v>
      </c>
      <c r="C163" s="99">
        <v>3</v>
      </c>
      <c r="D163" s="99">
        <f t="shared" si="25"/>
        <v>-0.6</v>
      </c>
      <c r="E163" s="166">
        <f t="shared" si="26"/>
        <v>-20</v>
      </c>
      <c r="F163" s="179"/>
      <c r="G163" s="156"/>
      <c r="H163" s="157"/>
    </row>
    <row r="164" s="153" customFormat="1" ht="18" customHeight="1" spans="1:8">
      <c r="A164" s="172" t="s">
        <v>628</v>
      </c>
      <c r="B164" s="99">
        <f t="shared" si="27"/>
        <v>5.2</v>
      </c>
      <c r="C164" s="99">
        <v>6.5</v>
      </c>
      <c r="D164" s="99">
        <f t="shared" si="25"/>
        <v>-1.3</v>
      </c>
      <c r="E164" s="166">
        <f t="shared" si="26"/>
        <v>-20</v>
      </c>
      <c r="F164" s="179"/>
      <c r="G164" s="156"/>
      <c r="H164" s="157"/>
    </row>
    <row r="165" s="153" customFormat="1" ht="18" customHeight="1" spans="1:8">
      <c r="A165" s="172" t="s">
        <v>629</v>
      </c>
      <c r="B165" s="99">
        <f t="shared" si="27"/>
        <v>7.2</v>
      </c>
      <c r="C165" s="99">
        <v>9</v>
      </c>
      <c r="D165" s="99">
        <f t="shared" si="25"/>
        <v>-1.8</v>
      </c>
      <c r="E165" s="166">
        <f t="shared" si="26"/>
        <v>-20</v>
      </c>
      <c r="F165" s="179"/>
      <c r="G165" s="156"/>
      <c r="H165" s="157"/>
    </row>
    <row r="166" s="153" customFormat="1" ht="18" customHeight="1" spans="1:8">
      <c r="A166" s="172" t="s">
        <v>630</v>
      </c>
      <c r="B166" s="99">
        <f t="shared" si="27"/>
        <v>8</v>
      </c>
      <c r="C166" s="99">
        <v>10</v>
      </c>
      <c r="D166" s="99">
        <f t="shared" si="25"/>
        <v>-2</v>
      </c>
      <c r="E166" s="166">
        <f t="shared" si="26"/>
        <v>-20</v>
      </c>
      <c r="F166" s="179"/>
      <c r="G166" s="156"/>
      <c r="H166" s="157"/>
    </row>
    <row r="167" s="153" customFormat="1" ht="18" customHeight="1" spans="1:8">
      <c r="A167" s="172" t="s">
        <v>631</v>
      </c>
      <c r="B167" s="99">
        <f t="shared" si="27"/>
        <v>4</v>
      </c>
      <c r="C167" s="99">
        <v>5</v>
      </c>
      <c r="D167" s="99">
        <f t="shared" si="25"/>
        <v>-1</v>
      </c>
      <c r="E167" s="166">
        <f t="shared" si="26"/>
        <v>-20</v>
      </c>
      <c r="F167" s="179"/>
      <c r="G167" s="156"/>
      <c r="H167" s="157"/>
    </row>
    <row r="168" s="153" customFormat="1" ht="18" customHeight="1" spans="1:8">
      <c r="A168" s="172" t="s">
        <v>632</v>
      </c>
      <c r="B168" s="99">
        <f t="shared" si="27"/>
        <v>4</v>
      </c>
      <c r="C168" s="99">
        <v>5</v>
      </c>
      <c r="D168" s="99">
        <f t="shared" si="25"/>
        <v>-1</v>
      </c>
      <c r="E168" s="166">
        <f t="shared" si="26"/>
        <v>-20</v>
      </c>
      <c r="F168" s="179"/>
      <c r="G168" s="156"/>
      <c r="H168" s="157"/>
    </row>
    <row r="169" s="153" customFormat="1" ht="18" customHeight="1" spans="1:8">
      <c r="A169" s="172" t="s">
        <v>633</v>
      </c>
      <c r="B169" s="99">
        <f t="shared" si="27"/>
        <v>3.2</v>
      </c>
      <c r="C169" s="99">
        <v>4</v>
      </c>
      <c r="D169" s="99">
        <f t="shared" si="25"/>
        <v>-0.8</v>
      </c>
      <c r="E169" s="166">
        <f t="shared" si="26"/>
        <v>-20</v>
      </c>
      <c r="F169" s="179"/>
      <c r="G169" s="156"/>
      <c r="H169" s="157"/>
    </row>
    <row r="170" s="153" customFormat="1" ht="18" customHeight="1" spans="1:8">
      <c r="A170" s="172" t="s">
        <v>634</v>
      </c>
      <c r="B170" s="99">
        <f t="shared" si="27"/>
        <v>8</v>
      </c>
      <c r="C170" s="99">
        <v>10</v>
      </c>
      <c r="D170" s="99">
        <f t="shared" si="25"/>
        <v>-2</v>
      </c>
      <c r="E170" s="166">
        <f t="shared" si="26"/>
        <v>-20</v>
      </c>
      <c r="F170" s="179"/>
      <c r="G170" s="156"/>
      <c r="H170" s="157"/>
    </row>
    <row r="171" s="153" customFormat="1" ht="18" customHeight="1" spans="1:8">
      <c r="A171" s="172" t="s">
        <v>635</v>
      </c>
      <c r="B171" s="99">
        <f t="shared" si="27"/>
        <v>9.6</v>
      </c>
      <c r="C171" s="99">
        <v>12</v>
      </c>
      <c r="D171" s="99">
        <f t="shared" si="25"/>
        <v>-2.4</v>
      </c>
      <c r="E171" s="166">
        <f t="shared" si="26"/>
        <v>-20</v>
      </c>
      <c r="F171" s="179"/>
      <c r="G171" s="156"/>
      <c r="H171" s="157"/>
    </row>
    <row r="172" s="153" customFormat="1" ht="18" customHeight="1" spans="1:8">
      <c r="A172" s="172" t="s">
        <v>636</v>
      </c>
      <c r="B172" s="99">
        <f t="shared" si="27"/>
        <v>16</v>
      </c>
      <c r="C172" s="99">
        <v>20</v>
      </c>
      <c r="D172" s="99">
        <f t="shared" si="25"/>
        <v>-4</v>
      </c>
      <c r="E172" s="166">
        <f t="shared" si="26"/>
        <v>-20</v>
      </c>
      <c r="F172" s="179"/>
      <c r="G172" s="156"/>
      <c r="H172" s="157"/>
    </row>
    <row r="173" s="153" customFormat="1" ht="18" customHeight="1" spans="1:8">
      <c r="A173" s="172" t="s">
        <v>637</v>
      </c>
      <c r="B173" s="99"/>
      <c r="C173" s="99">
        <v>66.4</v>
      </c>
      <c r="D173" s="99">
        <f t="shared" si="25"/>
        <v>-66.4</v>
      </c>
      <c r="E173" s="166">
        <f t="shared" si="26"/>
        <v>-100</v>
      </c>
      <c r="F173" s="179" t="s">
        <v>638</v>
      </c>
      <c r="G173" s="156"/>
      <c r="H173" s="157"/>
    </row>
    <row r="174" s="153" customFormat="1" ht="18" customHeight="1" spans="1:8">
      <c r="A174" s="172" t="s">
        <v>639</v>
      </c>
      <c r="B174" s="99">
        <v>68</v>
      </c>
      <c r="C174" s="99">
        <v>68</v>
      </c>
      <c r="D174" s="99">
        <f t="shared" si="25"/>
        <v>0</v>
      </c>
      <c r="E174" s="166">
        <f t="shared" si="26"/>
        <v>0</v>
      </c>
      <c r="F174" s="179" t="s">
        <v>640</v>
      </c>
      <c r="G174" s="156"/>
      <c r="H174" s="157"/>
    </row>
    <row r="175" s="153" customFormat="1" ht="18" customHeight="1" spans="1:8">
      <c r="A175" s="172" t="s">
        <v>641</v>
      </c>
      <c r="B175" s="99">
        <v>80</v>
      </c>
      <c r="C175" s="99">
        <v>80</v>
      </c>
      <c r="D175" s="99">
        <f t="shared" si="25"/>
        <v>0</v>
      </c>
      <c r="E175" s="166">
        <f t="shared" si="26"/>
        <v>0</v>
      </c>
      <c r="F175" s="179" t="s">
        <v>642</v>
      </c>
      <c r="G175" s="156"/>
      <c r="H175" s="157"/>
    </row>
    <row r="176" s="153" customFormat="1" ht="18" customHeight="1" spans="1:8">
      <c r="A176" s="172" t="s">
        <v>643</v>
      </c>
      <c r="B176" s="99"/>
      <c r="C176" s="99">
        <v>5</v>
      </c>
      <c r="D176" s="99">
        <f t="shared" si="25"/>
        <v>-5</v>
      </c>
      <c r="E176" s="166">
        <f t="shared" si="26"/>
        <v>-100</v>
      </c>
      <c r="F176" s="179" t="s">
        <v>445</v>
      </c>
      <c r="G176" s="156"/>
      <c r="H176" s="157"/>
    </row>
    <row r="177" s="153" customFormat="1" ht="18" customHeight="1" spans="1:8">
      <c r="A177" s="172" t="s">
        <v>644</v>
      </c>
      <c r="B177" s="99">
        <f>C177*0.8</f>
        <v>6.4</v>
      </c>
      <c r="C177" s="99">
        <v>8</v>
      </c>
      <c r="D177" s="99">
        <f t="shared" ref="D177:D185" si="28">B177-C177</f>
        <v>-1.6</v>
      </c>
      <c r="E177" s="166">
        <f t="shared" ref="E177:E185" si="29">D177/C177*100</f>
        <v>-20</v>
      </c>
      <c r="F177" s="179"/>
      <c r="G177" s="156"/>
      <c r="H177" s="157"/>
    </row>
    <row r="178" s="153" customFormat="1" ht="18" customHeight="1" spans="1:8">
      <c r="A178" s="172" t="s">
        <v>645</v>
      </c>
      <c r="B178" s="99">
        <f>C178*0.8</f>
        <v>209.6</v>
      </c>
      <c r="C178" s="99">
        <v>262</v>
      </c>
      <c r="D178" s="99">
        <f t="shared" si="28"/>
        <v>-52.4</v>
      </c>
      <c r="E178" s="166">
        <f t="shared" si="29"/>
        <v>-20</v>
      </c>
      <c r="F178" s="179" t="s">
        <v>646</v>
      </c>
      <c r="G178" s="156"/>
      <c r="H178" s="157"/>
    </row>
    <row r="179" s="153" customFormat="1" ht="18" customHeight="1" spans="1:8">
      <c r="A179" s="172" t="s">
        <v>647</v>
      </c>
      <c r="B179" s="99">
        <f>SUM(B180:B186)</f>
        <v>46.8</v>
      </c>
      <c r="C179" s="99">
        <f>SUM(C180:C186)</f>
        <v>61</v>
      </c>
      <c r="D179" s="99">
        <f t="shared" si="28"/>
        <v>-14.2</v>
      </c>
      <c r="E179" s="166">
        <f t="shared" si="29"/>
        <v>-23.2786885245902</v>
      </c>
      <c r="F179" s="179"/>
      <c r="G179" s="156"/>
      <c r="H179" s="157">
        <v>14.2</v>
      </c>
    </row>
    <row r="180" s="153" customFormat="1" ht="18" customHeight="1" spans="1:8">
      <c r="A180" s="172" t="s">
        <v>648</v>
      </c>
      <c r="B180" s="99">
        <v>8</v>
      </c>
      <c r="C180" s="99">
        <v>13</v>
      </c>
      <c r="D180" s="99">
        <f t="shared" si="28"/>
        <v>-5</v>
      </c>
      <c r="E180" s="166">
        <f t="shared" si="29"/>
        <v>-38.4615384615385</v>
      </c>
      <c r="F180" s="179" t="s">
        <v>649</v>
      </c>
      <c r="G180" s="156"/>
      <c r="H180" s="157"/>
    </row>
    <row r="181" s="153" customFormat="1" ht="18" customHeight="1" spans="1:8">
      <c r="A181" s="172" t="s">
        <v>650</v>
      </c>
      <c r="B181" s="99">
        <f t="shared" ref="B181:B186" si="30">C181*0.8</f>
        <v>4</v>
      </c>
      <c r="C181" s="99">
        <v>5</v>
      </c>
      <c r="D181" s="99">
        <f t="shared" si="28"/>
        <v>-1</v>
      </c>
      <c r="E181" s="166">
        <f t="shared" si="29"/>
        <v>-20</v>
      </c>
      <c r="F181" s="179"/>
      <c r="G181" s="156"/>
      <c r="H181" s="157"/>
    </row>
    <row r="182" s="153" customFormat="1" ht="18" customHeight="1" spans="1:8">
      <c r="A182" s="172" t="s">
        <v>651</v>
      </c>
      <c r="B182" s="99">
        <v>2</v>
      </c>
      <c r="C182" s="99">
        <v>2</v>
      </c>
      <c r="D182" s="99">
        <f t="shared" si="28"/>
        <v>0</v>
      </c>
      <c r="E182" s="166">
        <f t="shared" si="29"/>
        <v>0</v>
      </c>
      <c r="F182" s="179"/>
      <c r="G182" s="156"/>
      <c r="H182" s="157"/>
    </row>
    <row r="183" s="153" customFormat="1" ht="18" customHeight="1" spans="1:8">
      <c r="A183" s="172" t="s">
        <v>652</v>
      </c>
      <c r="B183" s="99">
        <f t="shared" si="30"/>
        <v>8</v>
      </c>
      <c r="C183" s="99">
        <v>10</v>
      </c>
      <c r="D183" s="99">
        <f t="shared" si="28"/>
        <v>-2</v>
      </c>
      <c r="E183" s="166">
        <f t="shared" si="29"/>
        <v>-20</v>
      </c>
      <c r="F183" s="179"/>
      <c r="G183" s="156"/>
      <c r="H183" s="157"/>
    </row>
    <row r="184" s="153" customFormat="1" ht="18" customHeight="1" spans="1:8">
      <c r="A184" s="172" t="s">
        <v>653</v>
      </c>
      <c r="B184" s="99">
        <f t="shared" si="30"/>
        <v>8</v>
      </c>
      <c r="C184" s="99">
        <v>10</v>
      </c>
      <c r="D184" s="99">
        <f t="shared" si="28"/>
        <v>-2</v>
      </c>
      <c r="E184" s="166">
        <f t="shared" si="29"/>
        <v>-20</v>
      </c>
      <c r="F184" s="179"/>
      <c r="G184" s="156"/>
      <c r="H184" s="157"/>
    </row>
    <row r="185" s="153" customFormat="1" ht="18" customHeight="1" spans="1:8">
      <c r="A185" s="172" t="s">
        <v>654</v>
      </c>
      <c r="B185" s="99">
        <f t="shared" si="30"/>
        <v>12</v>
      </c>
      <c r="C185" s="99">
        <v>15</v>
      </c>
      <c r="D185" s="99">
        <f t="shared" si="28"/>
        <v>-3</v>
      </c>
      <c r="E185" s="166">
        <f t="shared" si="29"/>
        <v>-20</v>
      </c>
      <c r="F185" s="179"/>
      <c r="G185" s="156"/>
      <c r="H185" s="157"/>
    </row>
    <row r="186" s="153" customFormat="1" ht="18" customHeight="1" spans="1:8">
      <c r="A186" s="172" t="s">
        <v>655</v>
      </c>
      <c r="B186" s="99">
        <f t="shared" si="30"/>
        <v>4.8</v>
      </c>
      <c r="C186" s="99">
        <v>6</v>
      </c>
      <c r="D186" s="99">
        <f t="shared" ref="D186:D200" si="31">B186-C186</f>
        <v>-1.2</v>
      </c>
      <c r="E186" s="166">
        <f t="shared" ref="E186:E200" si="32">D186/C186*100</f>
        <v>-20</v>
      </c>
      <c r="F186" s="179"/>
      <c r="G186" s="156"/>
      <c r="H186" s="157"/>
    </row>
    <row r="187" s="153" customFormat="1" ht="18" customHeight="1" spans="1:8">
      <c r="A187" s="172" t="s">
        <v>656</v>
      </c>
      <c r="B187" s="99">
        <f>SUM(B188:B196)</f>
        <v>52.8</v>
      </c>
      <c r="C187" s="99">
        <f>SUM(C188:C196)</f>
        <v>75</v>
      </c>
      <c r="D187" s="99">
        <f t="shared" si="31"/>
        <v>-22.2</v>
      </c>
      <c r="E187" s="166">
        <f t="shared" si="32"/>
        <v>-29.6</v>
      </c>
      <c r="F187" s="179"/>
      <c r="G187" s="156"/>
      <c r="H187" s="157">
        <v>19.2</v>
      </c>
    </row>
    <row r="188" s="153" customFormat="1" ht="18" customHeight="1" spans="1:8">
      <c r="A188" s="172" t="s">
        <v>657</v>
      </c>
      <c r="B188" s="99">
        <f>C188*0.8</f>
        <v>6.4</v>
      </c>
      <c r="C188" s="99">
        <v>8</v>
      </c>
      <c r="D188" s="99">
        <f t="shared" si="31"/>
        <v>-1.6</v>
      </c>
      <c r="E188" s="166">
        <f t="shared" si="32"/>
        <v>-20</v>
      </c>
      <c r="F188" s="179"/>
      <c r="G188" s="156"/>
      <c r="H188" s="157"/>
    </row>
    <row r="189" s="153" customFormat="1" ht="18" customHeight="1" spans="1:8">
      <c r="A189" s="172" t="s">
        <v>658</v>
      </c>
      <c r="B189" s="99">
        <f t="shared" ref="B189:B196" si="33">C189*0.8</f>
        <v>6.4</v>
      </c>
      <c r="C189" s="99">
        <v>8</v>
      </c>
      <c r="D189" s="99">
        <f t="shared" si="31"/>
        <v>-1.6</v>
      </c>
      <c r="E189" s="166">
        <f t="shared" si="32"/>
        <v>-20</v>
      </c>
      <c r="F189" s="179"/>
      <c r="G189" s="156"/>
      <c r="H189" s="157"/>
    </row>
    <row r="190" s="153" customFormat="1" ht="18" customHeight="1" spans="1:8">
      <c r="A190" s="172" t="s">
        <v>659</v>
      </c>
      <c r="B190" s="99"/>
      <c r="C190" s="99">
        <v>1</v>
      </c>
      <c r="D190" s="99">
        <f t="shared" si="31"/>
        <v>-1</v>
      </c>
      <c r="E190" s="166">
        <f t="shared" si="32"/>
        <v>-100</v>
      </c>
      <c r="F190" s="179" t="s">
        <v>660</v>
      </c>
      <c r="G190" s="156"/>
      <c r="H190" s="157"/>
    </row>
    <row r="191" s="153" customFormat="1" ht="18" customHeight="1" spans="1:8">
      <c r="A191" s="172" t="s">
        <v>661</v>
      </c>
      <c r="B191" s="99">
        <f t="shared" si="33"/>
        <v>16</v>
      </c>
      <c r="C191" s="99">
        <v>20</v>
      </c>
      <c r="D191" s="99">
        <f t="shared" si="31"/>
        <v>-4</v>
      </c>
      <c r="E191" s="166">
        <f t="shared" si="32"/>
        <v>-20</v>
      </c>
      <c r="F191" s="179"/>
      <c r="G191" s="156"/>
      <c r="H191" s="157"/>
    </row>
    <row r="192" s="153" customFormat="1" ht="18" customHeight="1" spans="1:8">
      <c r="A192" s="172" t="s">
        <v>662</v>
      </c>
      <c r="B192" s="99">
        <v>0</v>
      </c>
      <c r="C192" s="99">
        <v>3</v>
      </c>
      <c r="D192" s="99">
        <f t="shared" si="31"/>
        <v>-3</v>
      </c>
      <c r="E192" s="166">
        <f t="shared" si="32"/>
        <v>-100</v>
      </c>
      <c r="F192" s="179" t="s">
        <v>663</v>
      </c>
      <c r="G192" s="156"/>
      <c r="H192" s="157"/>
    </row>
    <row r="193" s="153" customFormat="1" ht="18" customHeight="1" spans="1:8">
      <c r="A193" s="172" t="s">
        <v>664</v>
      </c>
      <c r="B193" s="99">
        <f t="shared" si="33"/>
        <v>8</v>
      </c>
      <c r="C193" s="99">
        <v>10</v>
      </c>
      <c r="D193" s="99">
        <f t="shared" si="31"/>
        <v>-2</v>
      </c>
      <c r="E193" s="166">
        <f t="shared" si="32"/>
        <v>-20</v>
      </c>
      <c r="F193" s="179" t="s">
        <v>665</v>
      </c>
      <c r="G193" s="156"/>
      <c r="H193" s="157"/>
    </row>
    <row r="194" s="153" customFormat="1" ht="18" customHeight="1" spans="1:8">
      <c r="A194" s="172" t="s">
        <v>666</v>
      </c>
      <c r="B194" s="99">
        <f t="shared" si="33"/>
        <v>4</v>
      </c>
      <c r="C194" s="99">
        <v>5</v>
      </c>
      <c r="D194" s="99">
        <f t="shared" si="31"/>
        <v>-1</v>
      </c>
      <c r="E194" s="166">
        <f t="shared" si="32"/>
        <v>-20</v>
      </c>
      <c r="F194" s="179"/>
      <c r="G194" s="156"/>
      <c r="H194" s="157"/>
    </row>
    <row r="195" s="153" customFormat="1" ht="18" customHeight="1" spans="1:8">
      <c r="A195" s="172" t="s">
        <v>667</v>
      </c>
      <c r="B195" s="99"/>
      <c r="C195" s="99">
        <v>5</v>
      </c>
      <c r="D195" s="99">
        <f t="shared" si="31"/>
        <v>-5</v>
      </c>
      <c r="E195" s="166">
        <f t="shared" si="32"/>
        <v>-100</v>
      </c>
      <c r="F195" s="179" t="s">
        <v>668</v>
      </c>
      <c r="G195" s="156"/>
      <c r="H195" s="157"/>
    </row>
    <row r="196" s="153" customFormat="1" ht="18" customHeight="1" spans="1:8">
      <c r="A196" s="172" t="s">
        <v>669</v>
      </c>
      <c r="B196" s="99">
        <f t="shared" si="33"/>
        <v>12</v>
      </c>
      <c r="C196" s="99">
        <v>15</v>
      </c>
      <c r="D196" s="99">
        <f t="shared" si="31"/>
        <v>-3</v>
      </c>
      <c r="E196" s="166">
        <f t="shared" si="32"/>
        <v>-20</v>
      </c>
      <c r="F196" s="179"/>
      <c r="G196" s="156"/>
      <c r="H196" s="157"/>
    </row>
    <row r="197" s="153" customFormat="1" ht="18" customHeight="1" spans="1:8">
      <c r="A197" s="172" t="s">
        <v>670</v>
      </c>
      <c r="B197" s="99">
        <f>SUM(B198:B201)</f>
        <v>11.4</v>
      </c>
      <c r="C197" s="99">
        <f>SUM(C198:C201)</f>
        <v>16.5</v>
      </c>
      <c r="D197" s="99">
        <f t="shared" si="31"/>
        <v>-5.1</v>
      </c>
      <c r="E197" s="166">
        <f t="shared" si="32"/>
        <v>-30.9090909090909</v>
      </c>
      <c r="F197" s="179"/>
      <c r="G197" s="156"/>
      <c r="H197" s="157">
        <v>5.1</v>
      </c>
    </row>
    <row r="198" s="153" customFormat="1" ht="18" customHeight="1" spans="1:8">
      <c r="A198" s="172" t="s">
        <v>671</v>
      </c>
      <c r="B198" s="99">
        <f>C198*0.8</f>
        <v>8</v>
      </c>
      <c r="C198" s="99">
        <v>10</v>
      </c>
      <c r="D198" s="99">
        <f t="shared" si="31"/>
        <v>-2</v>
      </c>
      <c r="E198" s="166">
        <f t="shared" si="32"/>
        <v>-20</v>
      </c>
      <c r="F198" s="179"/>
      <c r="G198" s="156"/>
      <c r="H198" s="157"/>
    </row>
    <row r="199" s="153" customFormat="1" ht="18" customHeight="1" spans="1:8">
      <c r="A199" s="172" t="s">
        <v>672</v>
      </c>
      <c r="B199" s="99">
        <v>1</v>
      </c>
      <c r="C199" s="99">
        <v>1</v>
      </c>
      <c r="D199" s="99">
        <f t="shared" si="31"/>
        <v>0</v>
      </c>
      <c r="E199" s="166">
        <f t="shared" si="32"/>
        <v>0</v>
      </c>
      <c r="F199" s="179"/>
      <c r="G199" s="156"/>
      <c r="H199" s="157"/>
    </row>
    <row r="200" s="153" customFormat="1" ht="18" customHeight="1" spans="1:8">
      <c r="A200" s="172" t="s">
        <v>673</v>
      </c>
      <c r="B200" s="99">
        <v>0</v>
      </c>
      <c r="C200" s="99">
        <v>2.5</v>
      </c>
      <c r="D200" s="99">
        <f t="shared" si="31"/>
        <v>-2.5</v>
      </c>
      <c r="E200" s="166">
        <f t="shared" si="32"/>
        <v>-100</v>
      </c>
      <c r="F200" s="179" t="s">
        <v>674</v>
      </c>
      <c r="G200" s="156"/>
      <c r="H200" s="157"/>
    </row>
    <row r="201" s="153" customFormat="1" ht="18" customHeight="1" spans="1:8">
      <c r="A201" s="172" t="s">
        <v>675</v>
      </c>
      <c r="B201" s="99">
        <f>C201*0.8</f>
        <v>2.4</v>
      </c>
      <c r="C201" s="99">
        <v>3</v>
      </c>
      <c r="D201" s="99">
        <f t="shared" ref="D201:D221" si="34">B201-C201</f>
        <v>-0.6</v>
      </c>
      <c r="E201" s="166">
        <f t="shared" ref="E201:E206" si="35">D201/C201*100</f>
        <v>-20</v>
      </c>
      <c r="F201" s="179"/>
      <c r="G201" s="156"/>
      <c r="H201" s="157"/>
    </row>
    <row r="202" s="153" customFormat="1" ht="18" customHeight="1" spans="1:8">
      <c r="A202" s="172" t="s">
        <v>676</v>
      </c>
      <c r="B202" s="99">
        <f>SUM(B203:B204)</f>
        <v>11.2</v>
      </c>
      <c r="C202" s="99">
        <f>SUM(C203:C204)</f>
        <v>14</v>
      </c>
      <c r="D202" s="99">
        <f t="shared" si="34"/>
        <v>-2.8</v>
      </c>
      <c r="E202" s="166">
        <f t="shared" si="35"/>
        <v>-20</v>
      </c>
      <c r="F202" s="179"/>
      <c r="G202" s="156"/>
      <c r="H202" s="157">
        <v>2.8</v>
      </c>
    </row>
    <row r="203" s="153" customFormat="1" ht="18" customHeight="1" spans="1:8">
      <c r="A203" s="172" t="s">
        <v>677</v>
      </c>
      <c r="B203" s="99">
        <f>C203*0.8</f>
        <v>8</v>
      </c>
      <c r="C203" s="99">
        <v>10</v>
      </c>
      <c r="D203" s="99">
        <f t="shared" si="34"/>
        <v>-2</v>
      </c>
      <c r="E203" s="166">
        <f t="shared" si="35"/>
        <v>-20</v>
      </c>
      <c r="F203" s="179"/>
      <c r="G203" s="156"/>
      <c r="H203" s="157"/>
    </row>
    <row r="204" s="153" customFormat="1" ht="18" customHeight="1" spans="1:8">
      <c r="A204" s="172" t="s">
        <v>678</v>
      </c>
      <c r="B204" s="99">
        <f>C204*0.8</f>
        <v>3.2</v>
      </c>
      <c r="C204" s="99">
        <v>4</v>
      </c>
      <c r="D204" s="99">
        <f t="shared" si="34"/>
        <v>-0.8</v>
      </c>
      <c r="E204" s="166">
        <f t="shared" si="35"/>
        <v>-20</v>
      </c>
      <c r="F204" s="179"/>
      <c r="G204" s="156"/>
      <c r="H204" s="157"/>
    </row>
    <row r="205" s="153" customFormat="1" ht="18" customHeight="1" spans="1:8">
      <c r="A205" s="172" t="s">
        <v>679</v>
      </c>
      <c r="B205" s="99">
        <f>SUM(B206:B212)</f>
        <v>141.1</v>
      </c>
      <c r="C205" s="99">
        <f>SUM(C206:C212)</f>
        <v>141.1</v>
      </c>
      <c r="D205" s="99">
        <f t="shared" si="34"/>
        <v>0</v>
      </c>
      <c r="E205" s="166">
        <f t="shared" si="35"/>
        <v>0</v>
      </c>
      <c r="F205" s="179"/>
      <c r="G205" s="156"/>
      <c r="H205" s="157"/>
    </row>
    <row r="206" s="153" customFormat="1" ht="18" customHeight="1" spans="1:8">
      <c r="A206" s="172" t="s">
        <v>680</v>
      </c>
      <c r="B206" s="99">
        <v>23.1</v>
      </c>
      <c r="C206" s="99">
        <v>23.1</v>
      </c>
      <c r="D206" s="99">
        <f t="shared" si="34"/>
        <v>0</v>
      </c>
      <c r="E206" s="166">
        <f t="shared" si="35"/>
        <v>0</v>
      </c>
      <c r="F206" s="179"/>
      <c r="G206" s="156"/>
      <c r="H206" s="157"/>
    </row>
    <row r="207" s="153" customFormat="1" ht="18" customHeight="1" spans="1:8">
      <c r="A207" s="172" t="s">
        <v>681</v>
      </c>
      <c r="B207" s="99">
        <v>5</v>
      </c>
      <c r="C207" s="99">
        <v>5</v>
      </c>
      <c r="D207" s="99">
        <f t="shared" si="34"/>
        <v>0</v>
      </c>
      <c r="E207" s="166">
        <f t="shared" ref="E207:E221" si="36">D207/C207*100</f>
        <v>0</v>
      </c>
      <c r="F207" s="179"/>
      <c r="G207" s="156"/>
      <c r="H207" s="157"/>
    </row>
    <row r="208" s="153" customFormat="1" ht="18" customHeight="1" spans="1:8">
      <c r="A208" s="172" t="s">
        <v>682</v>
      </c>
      <c r="B208" s="99">
        <v>18</v>
      </c>
      <c r="C208" s="99">
        <v>18</v>
      </c>
      <c r="D208" s="99">
        <f t="shared" si="34"/>
        <v>0</v>
      </c>
      <c r="E208" s="166">
        <f t="shared" si="36"/>
        <v>0</v>
      </c>
      <c r="F208" s="179"/>
      <c r="G208" s="156"/>
      <c r="H208" s="157"/>
    </row>
    <row r="209" s="153" customFormat="1" ht="18" customHeight="1" spans="1:8">
      <c r="A209" s="172" t="s">
        <v>683</v>
      </c>
      <c r="B209" s="99">
        <v>3</v>
      </c>
      <c r="C209" s="99">
        <v>3</v>
      </c>
      <c r="D209" s="99">
        <f t="shared" si="34"/>
        <v>0</v>
      </c>
      <c r="E209" s="166">
        <f t="shared" si="36"/>
        <v>0</v>
      </c>
      <c r="F209" s="179" t="s">
        <v>684</v>
      </c>
      <c r="G209" s="156"/>
      <c r="H209" s="157"/>
    </row>
    <row r="210" s="153" customFormat="1" ht="18" customHeight="1" spans="1:8">
      <c r="A210" s="172" t="s">
        <v>685</v>
      </c>
      <c r="B210" s="99">
        <v>40</v>
      </c>
      <c r="C210" s="99">
        <v>40</v>
      </c>
      <c r="D210" s="99">
        <f t="shared" si="34"/>
        <v>0</v>
      </c>
      <c r="E210" s="166">
        <f t="shared" si="36"/>
        <v>0</v>
      </c>
      <c r="F210" s="179"/>
      <c r="G210" s="156"/>
      <c r="H210" s="157"/>
    </row>
    <row r="211" s="153" customFormat="1" ht="18" customHeight="1" spans="1:8">
      <c r="A211" s="172" t="s">
        <v>686</v>
      </c>
      <c r="B211" s="99">
        <v>39</v>
      </c>
      <c r="C211" s="99">
        <v>39</v>
      </c>
      <c r="D211" s="99">
        <f t="shared" si="34"/>
        <v>0</v>
      </c>
      <c r="E211" s="166">
        <f t="shared" si="36"/>
        <v>0</v>
      </c>
      <c r="F211" s="179" t="s">
        <v>687</v>
      </c>
      <c r="G211" s="156"/>
      <c r="H211" s="157"/>
    </row>
    <row r="212" s="153" customFormat="1" ht="18" customHeight="1" spans="1:8">
      <c r="A212" s="187" t="s">
        <v>688</v>
      </c>
      <c r="B212" s="99">
        <v>13</v>
      </c>
      <c r="C212" s="99">
        <v>13</v>
      </c>
      <c r="D212" s="99">
        <f t="shared" si="34"/>
        <v>0</v>
      </c>
      <c r="E212" s="166">
        <f t="shared" si="36"/>
        <v>0</v>
      </c>
      <c r="F212" s="179"/>
      <c r="G212" s="156"/>
      <c r="H212" s="157"/>
    </row>
    <row r="213" s="153" customFormat="1" ht="18" customHeight="1" spans="1:8">
      <c r="A213" s="172" t="s">
        <v>229</v>
      </c>
      <c r="B213" s="99">
        <f>SUM(B214:B216)</f>
        <v>141.6</v>
      </c>
      <c r="C213" s="99">
        <f>SUM(C214:C216)</f>
        <v>177</v>
      </c>
      <c r="D213" s="99">
        <f t="shared" si="34"/>
        <v>-35.4</v>
      </c>
      <c r="E213" s="166">
        <f t="shared" si="36"/>
        <v>-20</v>
      </c>
      <c r="F213" s="179"/>
      <c r="G213" s="156"/>
      <c r="H213" s="157">
        <v>35.4</v>
      </c>
    </row>
    <row r="214" s="153" customFormat="1" ht="59.1" customHeight="1" spans="1:8">
      <c r="A214" s="172" t="s">
        <v>689</v>
      </c>
      <c r="B214" s="99">
        <f>C214*0.8</f>
        <v>63.2</v>
      </c>
      <c r="C214" s="99">
        <v>79</v>
      </c>
      <c r="D214" s="99">
        <f t="shared" si="34"/>
        <v>-15.8</v>
      </c>
      <c r="E214" s="166">
        <f t="shared" si="36"/>
        <v>-20</v>
      </c>
      <c r="F214" s="179" t="s">
        <v>690</v>
      </c>
      <c r="G214" s="156"/>
      <c r="H214" s="157"/>
    </row>
    <row r="215" s="153" customFormat="1" ht="30" customHeight="1" spans="1:8">
      <c r="A215" s="172" t="s">
        <v>691</v>
      </c>
      <c r="B215" s="99">
        <f>C215*0.8</f>
        <v>35.2</v>
      </c>
      <c r="C215" s="99">
        <v>44</v>
      </c>
      <c r="D215" s="99">
        <f t="shared" si="34"/>
        <v>-8.8</v>
      </c>
      <c r="E215" s="166">
        <f t="shared" si="36"/>
        <v>-20</v>
      </c>
      <c r="F215" s="179" t="s">
        <v>692</v>
      </c>
      <c r="G215" s="156"/>
      <c r="H215" s="157"/>
    </row>
    <row r="216" s="153" customFormat="1" ht="30" customHeight="1" spans="1:8">
      <c r="A216" s="172" t="s">
        <v>693</v>
      </c>
      <c r="B216" s="99">
        <f>C216*0.8</f>
        <v>43.2</v>
      </c>
      <c r="C216" s="99">
        <v>54</v>
      </c>
      <c r="D216" s="99">
        <f t="shared" si="34"/>
        <v>-10.8</v>
      </c>
      <c r="E216" s="166">
        <f t="shared" si="36"/>
        <v>-20</v>
      </c>
      <c r="F216" s="179" t="s">
        <v>694</v>
      </c>
      <c r="G216" s="156"/>
      <c r="H216" s="157"/>
    </row>
    <row r="217" s="153" customFormat="1" ht="18" customHeight="1" spans="1:8">
      <c r="A217" s="172" t="s">
        <v>695</v>
      </c>
      <c r="B217" s="99">
        <f>SUM(B218:B247)</f>
        <v>7561</v>
      </c>
      <c r="C217" s="99">
        <f>SUM(C218:C247)</f>
        <v>8775</v>
      </c>
      <c r="D217" s="99">
        <f t="shared" si="34"/>
        <v>-1214</v>
      </c>
      <c r="E217" s="166">
        <f t="shared" si="36"/>
        <v>-13.8347578347578</v>
      </c>
      <c r="F217" s="179"/>
      <c r="G217" s="156"/>
      <c r="H217" s="157"/>
    </row>
    <row r="218" s="153" customFormat="1" ht="18" customHeight="1" spans="1:8">
      <c r="A218" s="182" t="s">
        <v>696</v>
      </c>
      <c r="B218" s="99">
        <v>150</v>
      </c>
      <c r="C218" s="99">
        <v>150</v>
      </c>
      <c r="D218" s="99">
        <f t="shared" si="34"/>
        <v>0</v>
      </c>
      <c r="E218" s="166">
        <f t="shared" si="36"/>
        <v>0</v>
      </c>
      <c r="F218" s="179" t="s">
        <v>697</v>
      </c>
      <c r="G218" s="156"/>
      <c r="H218" s="157"/>
    </row>
    <row r="219" s="153" customFormat="1" ht="18" customHeight="1" spans="1:8">
      <c r="A219" s="182" t="s">
        <v>698</v>
      </c>
      <c r="B219" s="99">
        <v>20</v>
      </c>
      <c r="C219" s="99">
        <v>10</v>
      </c>
      <c r="D219" s="99">
        <f t="shared" si="34"/>
        <v>10</v>
      </c>
      <c r="E219" s="166">
        <f t="shared" si="36"/>
        <v>100</v>
      </c>
      <c r="F219" s="179" t="s">
        <v>699</v>
      </c>
      <c r="G219" s="156"/>
      <c r="H219" s="157"/>
    </row>
    <row r="220" s="153" customFormat="1" ht="22" customHeight="1" spans="1:8">
      <c r="A220" s="182" t="s">
        <v>700</v>
      </c>
      <c r="B220" s="99">
        <v>5258</v>
      </c>
      <c r="C220" s="99">
        <v>5877</v>
      </c>
      <c r="D220" s="99">
        <f t="shared" si="34"/>
        <v>-619</v>
      </c>
      <c r="E220" s="166">
        <f t="shared" si="36"/>
        <v>-10.5325846520333</v>
      </c>
      <c r="F220" s="179" t="s">
        <v>701</v>
      </c>
      <c r="G220" s="156"/>
      <c r="H220" s="157">
        <v>419</v>
      </c>
    </row>
    <row r="221" s="153" customFormat="1" ht="18" customHeight="1" spans="1:8">
      <c r="A221" s="182" t="s">
        <v>702</v>
      </c>
      <c r="B221" s="99">
        <v>300</v>
      </c>
      <c r="C221" s="99">
        <v>300</v>
      </c>
      <c r="D221" s="99">
        <f t="shared" si="34"/>
        <v>0</v>
      </c>
      <c r="E221" s="166">
        <f t="shared" si="36"/>
        <v>0</v>
      </c>
      <c r="F221" s="180" t="s">
        <v>703</v>
      </c>
      <c r="G221" s="156"/>
      <c r="H221" s="157"/>
    </row>
    <row r="222" s="153" customFormat="1" ht="18" customHeight="1" spans="1:8">
      <c r="A222" s="182" t="s">
        <v>704</v>
      </c>
      <c r="B222" s="99">
        <v>60</v>
      </c>
      <c r="C222" s="99">
        <v>60</v>
      </c>
      <c r="D222" s="99">
        <f t="shared" ref="D222:D264" si="37">B222-C222</f>
        <v>0</v>
      </c>
      <c r="E222" s="166">
        <f t="shared" ref="E222:E264" si="38">D222/C222*100</f>
        <v>0</v>
      </c>
      <c r="F222" s="179"/>
      <c r="G222" s="156"/>
      <c r="H222" s="157"/>
    </row>
    <row r="223" s="153" customFormat="1" ht="18" customHeight="1" spans="1:8">
      <c r="A223" s="182" t="s">
        <v>705</v>
      </c>
      <c r="B223" s="99">
        <v>50</v>
      </c>
      <c r="C223" s="99">
        <v>50</v>
      </c>
      <c r="D223" s="99">
        <f t="shared" si="37"/>
        <v>0</v>
      </c>
      <c r="E223" s="166">
        <f t="shared" si="38"/>
        <v>0</v>
      </c>
      <c r="F223" s="179" t="s">
        <v>697</v>
      </c>
      <c r="G223" s="156"/>
      <c r="H223" s="157"/>
    </row>
    <row r="224" s="153" customFormat="1" ht="18.95" customHeight="1" spans="1:8">
      <c r="A224" s="182" t="s">
        <v>706</v>
      </c>
      <c r="B224" s="99">
        <v>160</v>
      </c>
      <c r="C224" s="99">
        <v>200</v>
      </c>
      <c r="D224" s="99">
        <f t="shared" si="37"/>
        <v>-40</v>
      </c>
      <c r="E224" s="166">
        <f t="shared" si="38"/>
        <v>-20</v>
      </c>
      <c r="F224" s="179" t="s">
        <v>707</v>
      </c>
      <c r="G224" s="156"/>
      <c r="H224" s="157">
        <v>40</v>
      </c>
    </row>
    <row r="225" s="153" customFormat="1" ht="18" customHeight="1" spans="1:8">
      <c r="A225" s="182" t="s">
        <v>708</v>
      </c>
      <c r="B225" s="99">
        <f>C225*0.8</f>
        <v>16</v>
      </c>
      <c r="C225" s="99">
        <v>20</v>
      </c>
      <c r="D225" s="99">
        <f t="shared" si="37"/>
        <v>-4</v>
      </c>
      <c r="E225" s="166">
        <f t="shared" si="38"/>
        <v>-20</v>
      </c>
      <c r="F225" s="179"/>
      <c r="G225" s="156"/>
      <c r="H225" s="157">
        <v>4</v>
      </c>
    </row>
    <row r="226" s="153" customFormat="1" ht="18" customHeight="1" spans="1:8">
      <c r="A226" s="182" t="s">
        <v>709</v>
      </c>
      <c r="B226" s="99">
        <v>280</v>
      </c>
      <c r="C226" s="99">
        <v>280</v>
      </c>
      <c r="D226" s="99">
        <f t="shared" si="37"/>
        <v>0</v>
      </c>
      <c r="E226" s="166">
        <f t="shared" si="38"/>
        <v>0</v>
      </c>
      <c r="F226" s="173" t="s">
        <v>710</v>
      </c>
      <c r="G226" s="156"/>
      <c r="H226" s="157"/>
    </row>
    <row r="227" s="153" customFormat="1" ht="18.95" customHeight="1" spans="1:8">
      <c r="A227" s="182" t="s">
        <v>711</v>
      </c>
      <c r="B227" s="99">
        <v>160</v>
      </c>
      <c r="C227" s="99">
        <v>200</v>
      </c>
      <c r="D227" s="99">
        <f t="shared" si="37"/>
        <v>-40</v>
      </c>
      <c r="E227" s="166">
        <f t="shared" si="38"/>
        <v>-20</v>
      </c>
      <c r="F227" s="179" t="s">
        <v>697</v>
      </c>
      <c r="G227" s="156"/>
      <c r="H227" s="157">
        <v>40</v>
      </c>
    </row>
    <row r="228" s="153" customFormat="1" ht="18" customHeight="1" spans="1:8">
      <c r="A228" s="182" t="s">
        <v>712</v>
      </c>
      <c r="B228" s="99">
        <v>500</v>
      </c>
      <c r="C228" s="99">
        <v>1000</v>
      </c>
      <c r="D228" s="99">
        <f t="shared" si="37"/>
        <v>-500</v>
      </c>
      <c r="E228" s="166">
        <f t="shared" si="38"/>
        <v>-50</v>
      </c>
      <c r="F228" s="179" t="s">
        <v>713</v>
      </c>
      <c r="G228" s="156"/>
      <c r="H228" s="157">
        <v>500</v>
      </c>
    </row>
    <row r="229" s="153" customFormat="1" ht="18" customHeight="1" spans="1:8">
      <c r="A229" s="182" t="s">
        <v>714</v>
      </c>
      <c r="B229" s="99">
        <v>2</v>
      </c>
      <c r="C229" s="99">
        <v>2</v>
      </c>
      <c r="D229" s="99">
        <f t="shared" si="37"/>
        <v>0</v>
      </c>
      <c r="E229" s="166">
        <f t="shared" si="38"/>
        <v>0</v>
      </c>
      <c r="F229" s="179" t="s">
        <v>715</v>
      </c>
      <c r="G229" s="156"/>
      <c r="H229" s="157"/>
    </row>
    <row r="230" s="153" customFormat="1" ht="18" customHeight="1" spans="1:8">
      <c r="A230" s="182" t="s">
        <v>716</v>
      </c>
      <c r="B230" s="99">
        <v>2</v>
      </c>
      <c r="C230" s="99">
        <v>2</v>
      </c>
      <c r="D230" s="99">
        <f t="shared" si="37"/>
        <v>0</v>
      </c>
      <c r="E230" s="166">
        <f t="shared" si="38"/>
        <v>0</v>
      </c>
      <c r="F230" s="179" t="s">
        <v>717</v>
      </c>
      <c r="G230" s="156"/>
      <c r="H230" s="157"/>
    </row>
    <row r="231" s="153" customFormat="1" ht="18" customHeight="1" spans="1:8">
      <c r="A231" s="182" t="s">
        <v>718</v>
      </c>
      <c r="B231" s="99">
        <v>2</v>
      </c>
      <c r="C231" s="99">
        <v>2</v>
      </c>
      <c r="D231" s="99">
        <f t="shared" si="37"/>
        <v>0</v>
      </c>
      <c r="E231" s="166">
        <f t="shared" si="38"/>
        <v>0</v>
      </c>
      <c r="F231" s="179" t="s">
        <v>719</v>
      </c>
      <c r="G231" s="156"/>
      <c r="H231" s="157"/>
    </row>
    <row r="232" s="153" customFormat="1" ht="18" customHeight="1" spans="1:8">
      <c r="A232" s="182" t="s">
        <v>720</v>
      </c>
      <c r="B232" s="99">
        <v>2</v>
      </c>
      <c r="C232" s="99">
        <v>2</v>
      </c>
      <c r="D232" s="99">
        <f t="shared" si="37"/>
        <v>0</v>
      </c>
      <c r="E232" s="166">
        <f t="shared" si="38"/>
        <v>0</v>
      </c>
      <c r="F232" s="179" t="s">
        <v>232</v>
      </c>
      <c r="G232" s="156"/>
      <c r="H232" s="157"/>
    </row>
    <row r="233" s="153" customFormat="1" ht="18" customHeight="1" spans="1:8">
      <c r="A233" s="182" t="s">
        <v>721</v>
      </c>
      <c r="B233" s="99">
        <v>2</v>
      </c>
      <c r="C233" s="99">
        <v>2</v>
      </c>
      <c r="D233" s="99">
        <f t="shared" si="37"/>
        <v>0</v>
      </c>
      <c r="E233" s="166">
        <f t="shared" si="38"/>
        <v>0</v>
      </c>
      <c r="F233" s="179" t="s">
        <v>719</v>
      </c>
      <c r="G233" s="156"/>
      <c r="H233" s="157"/>
    </row>
    <row r="234" s="153" customFormat="1" ht="18" customHeight="1" spans="1:8">
      <c r="A234" s="182" t="s">
        <v>722</v>
      </c>
      <c r="B234" s="99">
        <v>2</v>
      </c>
      <c r="C234" s="99">
        <v>2</v>
      </c>
      <c r="D234" s="99">
        <f t="shared" si="37"/>
        <v>0</v>
      </c>
      <c r="E234" s="166">
        <f t="shared" si="38"/>
        <v>0</v>
      </c>
      <c r="F234" s="179" t="s">
        <v>723</v>
      </c>
      <c r="G234" s="156"/>
      <c r="H234" s="157"/>
    </row>
    <row r="235" s="153" customFormat="1" ht="18" customHeight="1" spans="1:8">
      <c r="A235" s="182" t="s">
        <v>724</v>
      </c>
      <c r="B235" s="99">
        <v>2</v>
      </c>
      <c r="C235" s="99">
        <v>2</v>
      </c>
      <c r="D235" s="99">
        <f t="shared" si="37"/>
        <v>0</v>
      </c>
      <c r="E235" s="166">
        <f t="shared" si="38"/>
        <v>0</v>
      </c>
      <c r="F235" s="179" t="s">
        <v>723</v>
      </c>
      <c r="G235" s="156"/>
      <c r="H235" s="157"/>
    </row>
    <row r="236" s="153" customFormat="1" ht="18" customHeight="1" spans="1:8">
      <c r="A236" s="182" t="s">
        <v>725</v>
      </c>
      <c r="B236" s="99">
        <v>2</v>
      </c>
      <c r="C236" s="99">
        <v>2</v>
      </c>
      <c r="D236" s="99">
        <f t="shared" si="37"/>
        <v>0</v>
      </c>
      <c r="E236" s="166">
        <f t="shared" si="38"/>
        <v>0</v>
      </c>
      <c r="F236" s="179" t="s">
        <v>726</v>
      </c>
      <c r="G236" s="156"/>
      <c r="H236" s="157"/>
    </row>
    <row r="237" s="153" customFormat="1" ht="18" customHeight="1" spans="1:8">
      <c r="A237" s="182" t="s">
        <v>727</v>
      </c>
      <c r="B237" s="99">
        <v>2</v>
      </c>
      <c r="C237" s="99">
        <v>2</v>
      </c>
      <c r="D237" s="99">
        <f t="shared" si="37"/>
        <v>0</v>
      </c>
      <c r="E237" s="166">
        <f t="shared" si="38"/>
        <v>0</v>
      </c>
      <c r="F237" s="179" t="s">
        <v>174</v>
      </c>
      <c r="G237" s="156"/>
      <c r="H237" s="157"/>
    </row>
    <row r="238" s="153" customFormat="1" ht="18" customHeight="1" spans="1:8">
      <c r="A238" s="182" t="s">
        <v>728</v>
      </c>
      <c r="B238" s="99">
        <v>2</v>
      </c>
      <c r="C238" s="99">
        <v>2</v>
      </c>
      <c r="D238" s="99">
        <f t="shared" si="37"/>
        <v>0</v>
      </c>
      <c r="E238" s="166">
        <f t="shared" si="38"/>
        <v>0</v>
      </c>
      <c r="F238" s="179" t="s">
        <v>729</v>
      </c>
      <c r="G238" s="156"/>
      <c r="H238" s="157"/>
    </row>
    <row r="239" s="153" customFormat="1" ht="18" customHeight="1" spans="1:8">
      <c r="A239" s="182" t="s">
        <v>730</v>
      </c>
      <c r="B239" s="99">
        <v>2</v>
      </c>
      <c r="C239" s="99">
        <v>2</v>
      </c>
      <c r="D239" s="99">
        <f t="shared" si="37"/>
        <v>0</v>
      </c>
      <c r="E239" s="166">
        <f t="shared" si="38"/>
        <v>0</v>
      </c>
      <c r="F239" s="179" t="s">
        <v>731</v>
      </c>
      <c r="G239" s="156"/>
      <c r="H239" s="157"/>
    </row>
    <row r="240" s="153" customFormat="1" ht="18" customHeight="1" spans="1:8">
      <c r="A240" s="182" t="s">
        <v>732</v>
      </c>
      <c r="B240" s="99">
        <v>2</v>
      </c>
      <c r="C240" s="99">
        <v>2</v>
      </c>
      <c r="D240" s="99">
        <f t="shared" si="37"/>
        <v>0</v>
      </c>
      <c r="E240" s="166">
        <f t="shared" si="38"/>
        <v>0</v>
      </c>
      <c r="F240" s="179" t="s">
        <v>733</v>
      </c>
      <c r="G240" s="156"/>
      <c r="H240" s="157"/>
    </row>
    <row r="241" s="153" customFormat="1" ht="18" customHeight="1" spans="1:8">
      <c r="A241" s="182" t="s">
        <v>734</v>
      </c>
      <c r="B241" s="99">
        <v>6</v>
      </c>
      <c r="C241" s="99">
        <v>6</v>
      </c>
      <c r="D241" s="99">
        <f t="shared" si="37"/>
        <v>0</v>
      </c>
      <c r="E241" s="166">
        <f t="shared" si="38"/>
        <v>0</v>
      </c>
      <c r="F241" s="179" t="s">
        <v>735</v>
      </c>
      <c r="G241" s="156"/>
      <c r="H241" s="157"/>
    </row>
    <row r="242" s="153" customFormat="1" ht="18" customHeight="1" spans="1:8">
      <c r="A242" s="182" t="s">
        <v>736</v>
      </c>
      <c r="B242" s="99">
        <v>88</v>
      </c>
      <c r="C242" s="99">
        <v>60</v>
      </c>
      <c r="D242" s="99">
        <f t="shared" si="37"/>
        <v>28</v>
      </c>
      <c r="E242" s="166">
        <f t="shared" si="38"/>
        <v>46.6666666666667</v>
      </c>
      <c r="F242" s="179" t="s">
        <v>737</v>
      </c>
      <c r="G242" s="156"/>
      <c r="H242" s="157"/>
    </row>
    <row r="243" s="153" customFormat="1" ht="26.1" customHeight="1" spans="1:8">
      <c r="A243" s="188" t="s">
        <v>738</v>
      </c>
      <c r="B243" s="99">
        <v>23</v>
      </c>
      <c r="C243" s="99">
        <v>23</v>
      </c>
      <c r="D243" s="99">
        <f t="shared" si="37"/>
        <v>0</v>
      </c>
      <c r="E243" s="166">
        <f t="shared" si="38"/>
        <v>0</v>
      </c>
      <c r="F243" s="179" t="s">
        <v>739</v>
      </c>
      <c r="G243" s="156"/>
      <c r="H243" s="157"/>
    </row>
    <row r="244" s="153" customFormat="1" ht="18" customHeight="1" spans="1:8">
      <c r="A244" s="182" t="s">
        <v>740</v>
      </c>
      <c r="B244" s="99">
        <v>120</v>
      </c>
      <c r="C244" s="99">
        <v>120</v>
      </c>
      <c r="D244" s="99">
        <f t="shared" si="37"/>
        <v>0</v>
      </c>
      <c r="E244" s="166">
        <f t="shared" si="38"/>
        <v>0</v>
      </c>
      <c r="F244" s="179" t="s">
        <v>741</v>
      </c>
      <c r="G244" s="156" t="s">
        <v>178</v>
      </c>
      <c r="H244" s="157"/>
    </row>
    <row r="245" s="153" customFormat="1" ht="18" customHeight="1" spans="1:8">
      <c r="A245" s="182" t="s">
        <v>742</v>
      </c>
      <c r="B245" s="99">
        <f>C245*0.8</f>
        <v>36</v>
      </c>
      <c r="C245" s="99">
        <v>45</v>
      </c>
      <c r="D245" s="99">
        <f t="shared" si="37"/>
        <v>-9</v>
      </c>
      <c r="E245" s="166">
        <f t="shared" si="38"/>
        <v>-20</v>
      </c>
      <c r="F245" s="179"/>
      <c r="G245" s="156"/>
      <c r="H245" s="157">
        <v>9</v>
      </c>
    </row>
    <row r="246" s="153" customFormat="1" ht="18" customHeight="1" spans="1:8">
      <c r="A246" s="182" t="s">
        <v>743</v>
      </c>
      <c r="B246" s="99">
        <f>C246*0.8</f>
        <v>40</v>
      </c>
      <c r="C246" s="99">
        <v>50</v>
      </c>
      <c r="D246" s="99">
        <f t="shared" si="37"/>
        <v>-10</v>
      </c>
      <c r="E246" s="166">
        <f t="shared" si="38"/>
        <v>-20</v>
      </c>
      <c r="F246" s="179"/>
      <c r="G246" s="156"/>
      <c r="H246" s="157">
        <v>10</v>
      </c>
    </row>
    <row r="247" s="153" customFormat="1" ht="18" customHeight="1" spans="1:8">
      <c r="A247" s="182" t="s">
        <v>744</v>
      </c>
      <c r="B247" s="99">
        <f>C247*0.9</f>
        <v>270</v>
      </c>
      <c r="C247" s="99">
        <v>300</v>
      </c>
      <c r="D247" s="99">
        <f t="shared" si="37"/>
        <v>-30</v>
      </c>
      <c r="E247" s="166">
        <f t="shared" si="38"/>
        <v>-10</v>
      </c>
      <c r="F247" s="179" t="s">
        <v>745</v>
      </c>
      <c r="G247" s="156"/>
      <c r="H247" s="157">
        <v>30</v>
      </c>
    </row>
    <row r="248" s="153" customFormat="1" ht="17" customHeight="1" spans="1:8">
      <c r="A248" s="169" t="s">
        <v>233</v>
      </c>
      <c r="B248" s="170">
        <f>B249+B250+B258+B259+B266+B271+B272</f>
        <v>5219.4</v>
      </c>
      <c r="C248" s="170">
        <f>C249+C250+C258+C259+C266+C271+C272</f>
        <v>5254</v>
      </c>
      <c r="D248" s="99">
        <f t="shared" si="37"/>
        <v>-34.6000000000004</v>
      </c>
      <c r="E248" s="166">
        <f t="shared" si="38"/>
        <v>-0.658545869813482</v>
      </c>
      <c r="F248" s="171"/>
      <c r="G248" s="156"/>
      <c r="H248" s="157"/>
    </row>
    <row r="249" s="153" customFormat="1" ht="18" customHeight="1" spans="1:8">
      <c r="A249" s="172" t="s">
        <v>746</v>
      </c>
      <c r="B249" s="99">
        <v>39</v>
      </c>
      <c r="C249" s="99">
        <v>39</v>
      </c>
      <c r="D249" s="99">
        <f t="shared" si="37"/>
        <v>0</v>
      </c>
      <c r="E249" s="166">
        <f t="shared" si="38"/>
        <v>0</v>
      </c>
      <c r="F249" s="179" t="s">
        <v>747</v>
      </c>
      <c r="G249" s="156"/>
      <c r="H249" s="157"/>
    </row>
    <row r="250" s="153" customFormat="1" ht="18" customHeight="1" spans="1:8">
      <c r="A250" s="172" t="s">
        <v>748</v>
      </c>
      <c r="B250" s="99">
        <f>B251+B255+B256+B257</f>
        <v>1540</v>
      </c>
      <c r="C250" s="99">
        <f>C251+C255+C256+C257</f>
        <v>1540</v>
      </c>
      <c r="D250" s="99">
        <f t="shared" si="37"/>
        <v>0</v>
      </c>
      <c r="E250" s="166">
        <f t="shared" si="38"/>
        <v>0</v>
      </c>
      <c r="F250" s="179"/>
      <c r="G250" s="156"/>
      <c r="H250" s="157"/>
    </row>
    <row r="251" s="153" customFormat="1" ht="18" customHeight="1" spans="1:8">
      <c r="A251" s="182" t="s">
        <v>749</v>
      </c>
      <c r="B251" s="99">
        <f>SUM(B252:B254)</f>
        <v>1120</v>
      </c>
      <c r="C251" s="99">
        <f>SUM(C252:C254)</f>
        <v>1120</v>
      </c>
      <c r="D251" s="99">
        <f t="shared" si="37"/>
        <v>0</v>
      </c>
      <c r="E251" s="166">
        <f t="shared" si="38"/>
        <v>0</v>
      </c>
      <c r="F251" s="179"/>
      <c r="G251" s="156"/>
      <c r="H251" s="157"/>
    </row>
    <row r="252" s="153" customFormat="1" ht="18" customHeight="1" spans="1:8">
      <c r="A252" s="182" t="s">
        <v>750</v>
      </c>
      <c r="B252" s="99">
        <v>600</v>
      </c>
      <c r="C252" s="99">
        <v>600</v>
      </c>
      <c r="D252" s="99">
        <f t="shared" si="37"/>
        <v>0</v>
      </c>
      <c r="E252" s="166">
        <f t="shared" si="38"/>
        <v>0</v>
      </c>
      <c r="F252" s="179" t="s">
        <v>751</v>
      </c>
      <c r="G252" s="156"/>
      <c r="H252" s="157"/>
    </row>
    <row r="253" s="153" customFormat="1" ht="18" customHeight="1" spans="1:8">
      <c r="A253" s="182" t="s">
        <v>752</v>
      </c>
      <c r="B253" s="99">
        <v>240</v>
      </c>
      <c r="C253" s="99">
        <v>240</v>
      </c>
      <c r="D253" s="99">
        <f t="shared" si="37"/>
        <v>0</v>
      </c>
      <c r="E253" s="166">
        <f t="shared" si="38"/>
        <v>0</v>
      </c>
      <c r="F253" s="179" t="s">
        <v>753</v>
      </c>
      <c r="G253" s="156"/>
      <c r="H253" s="157"/>
    </row>
    <row r="254" s="153" customFormat="1" ht="18" customHeight="1" spans="1:8">
      <c r="A254" s="182" t="s">
        <v>754</v>
      </c>
      <c r="B254" s="99">
        <v>280</v>
      </c>
      <c r="C254" s="99">
        <v>280</v>
      </c>
      <c r="D254" s="99">
        <f t="shared" si="37"/>
        <v>0</v>
      </c>
      <c r="E254" s="166">
        <f t="shared" si="38"/>
        <v>0</v>
      </c>
      <c r="F254" s="179" t="s">
        <v>753</v>
      </c>
      <c r="G254" s="156"/>
      <c r="H254" s="157"/>
    </row>
    <row r="255" s="153" customFormat="1" ht="18.95" customHeight="1" spans="1:8">
      <c r="A255" s="182" t="s">
        <v>755</v>
      </c>
      <c r="B255" s="99">
        <v>100</v>
      </c>
      <c r="C255" s="99">
        <v>100</v>
      </c>
      <c r="D255" s="99">
        <f t="shared" si="37"/>
        <v>0</v>
      </c>
      <c r="E255" s="166">
        <f t="shared" si="38"/>
        <v>0</v>
      </c>
      <c r="F255" s="179" t="s">
        <v>756</v>
      </c>
      <c r="G255" s="156"/>
      <c r="H255" s="157"/>
    </row>
    <row r="256" s="153" customFormat="1" ht="18" customHeight="1" spans="1:8">
      <c r="A256" s="182" t="s">
        <v>757</v>
      </c>
      <c r="B256" s="99">
        <v>20</v>
      </c>
      <c r="C256" s="99">
        <v>20</v>
      </c>
      <c r="D256" s="99">
        <f t="shared" si="37"/>
        <v>0</v>
      </c>
      <c r="E256" s="166">
        <f t="shared" si="38"/>
        <v>0</v>
      </c>
      <c r="F256" s="179" t="s">
        <v>758</v>
      </c>
      <c r="G256" s="156"/>
      <c r="H256" s="157"/>
    </row>
    <row r="257" s="153" customFormat="1" ht="39" customHeight="1" spans="1:8">
      <c r="A257" s="182" t="s">
        <v>759</v>
      </c>
      <c r="B257" s="99">
        <v>300</v>
      </c>
      <c r="C257" s="99">
        <v>300</v>
      </c>
      <c r="D257" s="99">
        <f t="shared" si="37"/>
        <v>0</v>
      </c>
      <c r="E257" s="166">
        <f t="shared" si="38"/>
        <v>0</v>
      </c>
      <c r="F257" s="173" t="s">
        <v>760</v>
      </c>
      <c r="G257" s="156"/>
      <c r="H257" s="157"/>
    </row>
    <row r="258" s="153" customFormat="1" ht="17.1" customHeight="1" spans="1:8">
      <c r="A258" s="172" t="s">
        <v>761</v>
      </c>
      <c r="B258" s="99">
        <v>10</v>
      </c>
      <c r="C258" s="99">
        <v>10</v>
      </c>
      <c r="D258" s="99">
        <f t="shared" si="37"/>
        <v>0</v>
      </c>
      <c r="E258" s="166">
        <f t="shared" si="38"/>
        <v>0</v>
      </c>
      <c r="F258" s="179"/>
      <c r="G258" s="156"/>
      <c r="H258" s="157"/>
    </row>
    <row r="259" s="153" customFormat="1" ht="18" customHeight="1" spans="1:8">
      <c r="A259" s="172" t="s">
        <v>762</v>
      </c>
      <c r="B259" s="99">
        <f>SUM(B260:B265)</f>
        <v>199</v>
      </c>
      <c r="C259" s="99">
        <f>SUM(C260:C265)</f>
        <v>225</v>
      </c>
      <c r="D259" s="99">
        <f t="shared" si="37"/>
        <v>-26</v>
      </c>
      <c r="E259" s="166">
        <f t="shared" si="38"/>
        <v>-11.5555555555556</v>
      </c>
      <c r="F259" s="179"/>
      <c r="G259" s="156"/>
      <c r="H259" s="157">
        <v>26</v>
      </c>
    </row>
    <row r="260" s="153" customFormat="1" ht="18" customHeight="1" spans="1:8">
      <c r="A260" s="172" t="s">
        <v>763</v>
      </c>
      <c r="B260" s="99">
        <f>C260*0.8</f>
        <v>8</v>
      </c>
      <c r="C260" s="99">
        <v>10</v>
      </c>
      <c r="D260" s="99">
        <f t="shared" si="37"/>
        <v>-2</v>
      </c>
      <c r="E260" s="166">
        <f t="shared" si="38"/>
        <v>-20</v>
      </c>
      <c r="F260" s="173"/>
      <c r="G260" s="156"/>
      <c r="H260" s="157"/>
    </row>
    <row r="261" s="153" customFormat="1" ht="18" customHeight="1" spans="1:8">
      <c r="A261" s="172" t="s">
        <v>764</v>
      </c>
      <c r="B261" s="99">
        <v>75</v>
      </c>
      <c r="C261" s="99">
        <v>75</v>
      </c>
      <c r="D261" s="99">
        <f t="shared" si="37"/>
        <v>0</v>
      </c>
      <c r="E261" s="166">
        <f t="shared" si="38"/>
        <v>0</v>
      </c>
      <c r="F261" s="173" t="s">
        <v>765</v>
      </c>
      <c r="G261" s="156"/>
      <c r="H261" s="157"/>
    </row>
    <row r="262" s="153" customFormat="1" ht="18" customHeight="1" spans="1:8">
      <c r="A262" s="172" t="s">
        <v>766</v>
      </c>
      <c r="B262" s="99">
        <f>C262*0.8</f>
        <v>8</v>
      </c>
      <c r="C262" s="99">
        <v>10</v>
      </c>
      <c r="D262" s="99">
        <f t="shared" si="37"/>
        <v>-2</v>
      </c>
      <c r="E262" s="166">
        <f t="shared" si="38"/>
        <v>-20</v>
      </c>
      <c r="F262" s="173"/>
      <c r="G262" s="156"/>
      <c r="H262" s="157"/>
    </row>
    <row r="263" s="153" customFormat="1" ht="18" customHeight="1" spans="1:8">
      <c r="A263" s="172" t="s">
        <v>767</v>
      </c>
      <c r="B263" s="99">
        <f>C263*0.8</f>
        <v>36</v>
      </c>
      <c r="C263" s="99">
        <v>45</v>
      </c>
      <c r="D263" s="99">
        <f t="shared" si="37"/>
        <v>-9</v>
      </c>
      <c r="E263" s="166">
        <f t="shared" si="38"/>
        <v>-20</v>
      </c>
      <c r="F263" s="173"/>
      <c r="G263" s="156"/>
      <c r="H263" s="157"/>
    </row>
    <row r="264" s="153" customFormat="1" ht="18" customHeight="1" spans="1:8">
      <c r="A264" s="172" t="s">
        <v>768</v>
      </c>
      <c r="B264" s="99">
        <v>20</v>
      </c>
      <c r="C264" s="99">
        <v>20</v>
      </c>
      <c r="D264" s="99">
        <f t="shared" si="37"/>
        <v>0</v>
      </c>
      <c r="E264" s="166">
        <f t="shared" si="38"/>
        <v>0</v>
      </c>
      <c r="F264" s="173"/>
      <c r="G264" s="156"/>
      <c r="H264" s="157"/>
    </row>
    <row r="265" s="153" customFormat="1" ht="18" customHeight="1" spans="1:8">
      <c r="A265" s="172" t="s">
        <v>769</v>
      </c>
      <c r="B265" s="99">
        <f>C265*0.8</f>
        <v>52</v>
      </c>
      <c r="C265" s="99">
        <v>65</v>
      </c>
      <c r="D265" s="99">
        <f t="shared" ref="D265:D284" si="39">B265-C265</f>
        <v>-13</v>
      </c>
      <c r="E265" s="166">
        <f t="shared" ref="E265:E284" si="40">D265/C265*100</f>
        <v>-20</v>
      </c>
      <c r="F265" s="173"/>
      <c r="G265" s="156"/>
      <c r="H265" s="157"/>
    </row>
    <row r="266" s="153" customFormat="1" ht="18" customHeight="1" spans="1:8">
      <c r="A266" s="172" t="s">
        <v>770</v>
      </c>
      <c r="B266" s="99">
        <f>SUM(B267:B270)</f>
        <v>417</v>
      </c>
      <c r="C266" s="99">
        <f>SUM(C267:C270)</f>
        <v>422</v>
      </c>
      <c r="D266" s="99">
        <f t="shared" si="39"/>
        <v>-5</v>
      </c>
      <c r="E266" s="166">
        <f t="shared" si="40"/>
        <v>-1.18483412322275</v>
      </c>
      <c r="F266" s="173"/>
      <c r="G266" s="156"/>
      <c r="H266" s="157">
        <v>5</v>
      </c>
    </row>
    <row r="267" s="153" customFormat="1" ht="18" customHeight="1" spans="1:8">
      <c r="A267" s="182" t="s">
        <v>750</v>
      </c>
      <c r="B267" s="99">
        <v>300</v>
      </c>
      <c r="C267" s="99">
        <v>300</v>
      </c>
      <c r="D267" s="99">
        <f t="shared" si="39"/>
        <v>0</v>
      </c>
      <c r="E267" s="166">
        <f t="shared" si="40"/>
        <v>0</v>
      </c>
      <c r="F267" s="173" t="s">
        <v>771</v>
      </c>
      <c r="G267" s="156"/>
      <c r="H267" s="157"/>
    </row>
    <row r="268" s="153" customFormat="1" ht="18" customHeight="1" spans="1:8">
      <c r="A268" s="182" t="s">
        <v>752</v>
      </c>
      <c r="B268" s="99">
        <v>75</v>
      </c>
      <c r="C268" s="99">
        <v>75</v>
      </c>
      <c r="D268" s="99">
        <f t="shared" si="39"/>
        <v>0</v>
      </c>
      <c r="E268" s="166">
        <f t="shared" si="40"/>
        <v>0</v>
      </c>
      <c r="F268" s="173"/>
      <c r="G268" s="156"/>
      <c r="H268" s="157"/>
    </row>
    <row r="269" s="153" customFormat="1" ht="18" customHeight="1" spans="1:8">
      <c r="A269" s="182" t="s">
        <v>754</v>
      </c>
      <c r="B269" s="99">
        <v>30</v>
      </c>
      <c r="C269" s="99">
        <v>30</v>
      </c>
      <c r="D269" s="99">
        <f t="shared" si="39"/>
        <v>0</v>
      </c>
      <c r="E269" s="166">
        <f t="shared" si="40"/>
        <v>0</v>
      </c>
      <c r="F269" s="173"/>
      <c r="G269" s="156"/>
      <c r="H269" s="157"/>
    </row>
    <row r="270" s="153" customFormat="1" ht="18" customHeight="1" spans="1:8">
      <c r="A270" s="182" t="s">
        <v>772</v>
      </c>
      <c r="B270" s="99">
        <v>12</v>
      </c>
      <c r="C270" s="99">
        <v>17</v>
      </c>
      <c r="D270" s="99">
        <f t="shared" si="39"/>
        <v>-5</v>
      </c>
      <c r="E270" s="166">
        <f t="shared" si="40"/>
        <v>-29.4117647058824</v>
      </c>
      <c r="F270" s="173" t="s">
        <v>545</v>
      </c>
      <c r="G270" s="156"/>
      <c r="H270" s="157"/>
    </row>
    <row r="271" s="153" customFormat="1" ht="18" customHeight="1" spans="1:8">
      <c r="A271" s="172" t="s">
        <v>773</v>
      </c>
      <c r="B271" s="99">
        <f>C271*0.8</f>
        <v>14.4</v>
      </c>
      <c r="C271" s="99">
        <v>18</v>
      </c>
      <c r="D271" s="99">
        <f t="shared" si="39"/>
        <v>-3.6</v>
      </c>
      <c r="E271" s="166">
        <f t="shared" si="40"/>
        <v>-20</v>
      </c>
      <c r="F271" s="179" t="s">
        <v>774</v>
      </c>
      <c r="G271" s="156"/>
      <c r="H271" s="157">
        <v>3.6</v>
      </c>
    </row>
    <row r="272" s="153" customFormat="1" ht="45" customHeight="1" spans="1:8">
      <c r="A272" s="172" t="s">
        <v>775</v>
      </c>
      <c r="B272" s="99">
        <v>3000</v>
      </c>
      <c r="C272" s="99">
        <v>3000</v>
      </c>
      <c r="D272" s="99">
        <f t="shared" si="39"/>
        <v>0</v>
      </c>
      <c r="E272" s="166">
        <f t="shared" si="40"/>
        <v>0</v>
      </c>
      <c r="F272" s="179" t="s">
        <v>776</v>
      </c>
      <c r="G272" s="156"/>
      <c r="H272" s="157"/>
    </row>
    <row r="273" s="153" customFormat="1" ht="18" customHeight="1" spans="1:8">
      <c r="A273" s="169" t="s">
        <v>242</v>
      </c>
      <c r="B273" s="170">
        <f>B274+B308+B316+B317</f>
        <v>12709</v>
      </c>
      <c r="C273" s="170">
        <f>C274+C308+C316+C317</f>
        <v>9811</v>
      </c>
      <c r="D273" s="99">
        <f t="shared" si="39"/>
        <v>2898</v>
      </c>
      <c r="E273" s="166">
        <f t="shared" si="40"/>
        <v>29.5382733666293</v>
      </c>
      <c r="F273" s="171"/>
      <c r="G273" s="156"/>
      <c r="H273" s="157"/>
    </row>
    <row r="274" s="153" customFormat="1" ht="18" customHeight="1" spans="1:8">
      <c r="A274" s="172" t="s">
        <v>777</v>
      </c>
      <c r="B274" s="99">
        <f>SUM(B275:B307)</f>
        <v>10956</v>
      </c>
      <c r="C274" s="189">
        <f>SUM(C275:C307)</f>
        <v>8250</v>
      </c>
      <c r="D274" s="99">
        <f t="shared" si="39"/>
        <v>2706</v>
      </c>
      <c r="E274" s="166">
        <f t="shared" si="40"/>
        <v>32.8</v>
      </c>
      <c r="F274" s="173"/>
      <c r="G274" s="156"/>
      <c r="H274" s="157"/>
    </row>
    <row r="275" s="153" customFormat="1" ht="18" customHeight="1" spans="1:8">
      <c r="A275" s="172" t="s">
        <v>778</v>
      </c>
      <c r="B275" s="99">
        <v>15</v>
      </c>
      <c r="C275" s="190">
        <v>15</v>
      </c>
      <c r="D275" s="99">
        <f t="shared" si="39"/>
        <v>0</v>
      </c>
      <c r="E275" s="166">
        <f t="shared" si="40"/>
        <v>0</v>
      </c>
      <c r="F275" s="173"/>
      <c r="G275" s="156"/>
      <c r="H275" s="157"/>
    </row>
    <row r="276" s="153" customFormat="1" ht="18" customHeight="1" spans="1:8">
      <c r="A276" s="172" t="s">
        <v>779</v>
      </c>
      <c r="B276" s="99">
        <v>0</v>
      </c>
      <c r="C276" s="190">
        <v>6</v>
      </c>
      <c r="D276" s="99">
        <f t="shared" si="39"/>
        <v>-6</v>
      </c>
      <c r="E276" s="166">
        <f t="shared" si="40"/>
        <v>-100</v>
      </c>
      <c r="F276" s="173" t="s">
        <v>780</v>
      </c>
      <c r="G276" s="156"/>
      <c r="H276" s="157">
        <v>6</v>
      </c>
    </row>
    <row r="277" s="153" customFormat="1" ht="18" customHeight="1" spans="1:8">
      <c r="A277" s="172" t="s">
        <v>781</v>
      </c>
      <c r="B277" s="99">
        <v>3</v>
      </c>
      <c r="C277" s="190">
        <v>3</v>
      </c>
      <c r="D277" s="99">
        <f t="shared" si="39"/>
        <v>0</v>
      </c>
      <c r="E277" s="166">
        <f t="shared" si="40"/>
        <v>0</v>
      </c>
      <c r="F277" s="173"/>
      <c r="G277" s="156"/>
      <c r="H277" s="157"/>
    </row>
    <row r="278" s="153" customFormat="1" ht="18" customHeight="1" spans="1:8">
      <c r="A278" s="172" t="s">
        <v>782</v>
      </c>
      <c r="B278" s="99">
        <v>413</v>
      </c>
      <c r="C278" s="190">
        <v>413</v>
      </c>
      <c r="D278" s="99">
        <f t="shared" si="39"/>
        <v>0</v>
      </c>
      <c r="E278" s="166">
        <f t="shared" si="40"/>
        <v>0</v>
      </c>
      <c r="F278" s="173" t="s">
        <v>783</v>
      </c>
      <c r="G278" s="156"/>
      <c r="H278" s="157"/>
    </row>
    <row r="279" s="153" customFormat="1" ht="18" customHeight="1" spans="1:8">
      <c r="A279" s="172" t="s">
        <v>784</v>
      </c>
      <c r="B279" s="99">
        <v>825</v>
      </c>
      <c r="C279" s="190">
        <v>825</v>
      </c>
      <c r="D279" s="99">
        <f t="shared" si="39"/>
        <v>0</v>
      </c>
      <c r="E279" s="166">
        <f t="shared" si="40"/>
        <v>0</v>
      </c>
      <c r="F279" s="173" t="s">
        <v>785</v>
      </c>
      <c r="G279" s="156"/>
      <c r="H279" s="157"/>
    </row>
    <row r="280" s="153" customFormat="1" ht="18" customHeight="1" spans="1:8">
      <c r="A280" s="172" t="s">
        <v>786</v>
      </c>
      <c r="B280" s="99">
        <v>72</v>
      </c>
      <c r="C280" s="190">
        <v>75</v>
      </c>
      <c r="D280" s="99">
        <f t="shared" si="39"/>
        <v>-3</v>
      </c>
      <c r="E280" s="166">
        <f t="shared" si="40"/>
        <v>-4</v>
      </c>
      <c r="F280" s="173" t="s">
        <v>787</v>
      </c>
      <c r="G280" s="156"/>
      <c r="H280" s="157">
        <v>3</v>
      </c>
    </row>
    <row r="281" s="153" customFormat="1" ht="16" customHeight="1" spans="1:8">
      <c r="A281" s="172" t="s">
        <v>788</v>
      </c>
      <c r="B281" s="99">
        <v>240</v>
      </c>
      <c r="C281" s="190">
        <v>214</v>
      </c>
      <c r="D281" s="99">
        <f t="shared" si="39"/>
        <v>26</v>
      </c>
      <c r="E281" s="166">
        <f t="shared" si="40"/>
        <v>12.1495327102804</v>
      </c>
      <c r="F281" s="173" t="s">
        <v>789</v>
      </c>
      <c r="G281" s="191"/>
      <c r="H281" s="157"/>
    </row>
    <row r="282" s="153" customFormat="1" ht="18" customHeight="1" spans="1:8">
      <c r="A282" s="172" t="s">
        <v>790</v>
      </c>
      <c r="B282" s="99">
        <v>477</v>
      </c>
      <c r="C282" s="190">
        <v>500</v>
      </c>
      <c r="D282" s="99">
        <f t="shared" si="39"/>
        <v>-23</v>
      </c>
      <c r="E282" s="166">
        <f t="shared" si="40"/>
        <v>-4.6</v>
      </c>
      <c r="F282" s="173"/>
      <c r="G282" s="156"/>
      <c r="H282" s="157">
        <v>23</v>
      </c>
    </row>
    <row r="283" s="153" customFormat="1" ht="18" customHeight="1" spans="1:8">
      <c r="A283" s="172" t="s">
        <v>791</v>
      </c>
      <c r="B283" s="99">
        <v>285</v>
      </c>
      <c r="C283" s="190">
        <v>170</v>
      </c>
      <c r="D283" s="99">
        <f t="shared" si="39"/>
        <v>115</v>
      </c>
      <c r="E283" s="166">
        <f t="shared" si="40"/>
        <v>67.6470588235294</v>
      </c>
      <c r="F283" s="173" t="s">
        <v>792</v>
      </c>
      <c r="G283" s="192"/>
      <c r="H283" s="157"/>
    </row>
    <row r="284" s="153" customFormat="1" ht="18" customHeight="1" spans="1:8">
      <c r="A284" s="172" t="s">
        <v>793</v>
      </c>
      <c r="B284" s="99">
        <v>0</v>
      </c>
      <c r="C284" s="190">
        <v>10</v>
      </c>
      <c r="D284" s="99">
        <f t="shared" si="39"/>
        <v>-10</v>
      </c>
      <c r="E284" s="166">
        <f t="shared" si="40"/>
        <v>-100</v>
      </c>
      <c r="F284" s="173" t="s">
        <v>794</v>
      </c>
      <c r="G284" s="156"/>
      <c r="H284" s="157"/>
    </row>
    <row r="285" s="153" customFormat="1" ht="18" customHeight="1" spans="1:8">
      <c r="A285" s="172" t="s">
        <v>795</v>
      </c>
      <c r="B285" s="99">
        <v>450</v>
      </c>
      <c r="C285" s="190">
        <v>450</v>
      </c>
      <c r="D285" s="99">
        <f t="shared" ref="D285:D303" si="41">B285-C285</f>
        <v>0</v>
      </c>
      <c r="E285" s="166">
        <f t="shared" ref="E285:E297" si="42">D285/C285*100</f>
        <v>0</v>
      </c>
      <c r="F285" s="173" t="s">
        <v>796</v>
      </c>
      <c r="G285" s="156"/>
      <c r="H285" s="157"/>
    </row>
    <row r="286" s="153" customFormat="1" ht="18" customHeight="1" spans="1:8">
      <c r="A286" s="172" t="s">
        <v>797</v>
      </c>
      <c r="B286" s="99">
        <v>57</v>
      </c>
      <c r="C286" s="190">
        <v>57</v>
      </c>
      <c r="D286" s="99">
        <f t="shared" si="41"/>
        <v>0</v>
      </c>
      <c r="E286" s="166">
        <f t="shared" si="42"/>
        <v>0</v>
      </c>
      <c r="F286" s="173" t="s">
        <v>796</v>
      </c>
      <c r="G286" s="156"/>
      <c r="H286" s="157"/>
    </row>
    <row r="287" s="153" customFormat="1" ht="18" customHeight="1" spans="1:8">
      <c r="A287" s="172" t="s">
        <v>798</v>
      </c>
      <c r="B287" s="99">
        <v>300</v>
      </c>
      <c r="C287" s="190">
        <v>300</v>
      </c>
      <c r="D287" s="99">
        <f t="shared" si="41"/>
        <v>0</v>
      </c>
      <c r="E287" s="166">
        <f t="shared" si="42"/>
        <v>0</v>
      </c>
      <c r="F287" s="173" t="s">
        <v>796</v>
      </c>
      <c r="G287" s="156"/>
      <c r="H287" s="157"/>
    </row>
    <row r="288" s="153" customFormat="1" ht="18" customHeight="1" spans="1:8">
      <c r="A288" s="172" t="s">
        <v>799</v>
      </c>
      <c r="B288" s="99">
        <v>130</v>
      </c>
      <c r="C288" s="190">
        <v>93</v>
      </c>
      <c r="D288" s="99">
        <f t="shared" si="41"/>
        <v>37</v>
      </c>
      <c r="E288" s="166">
        <f t="shared" si="42"/>
        <v>39.7849462365591</v>
      </c>
      <c r="F288" s="173" t="s">
        <v>800</v>
      </c>
      <c r="G288" s="156"/>
      <c r="H288" s="157"/>
    </row>
    <row r="289" s="153" customFormat="1" ht="18" customHeight="1" spans="1:8">
      <c r="A289" s="172" t="s">
        <v>801</v>
      </c>
      <c r="B289" s="99"/>
      <c r="C289" s="190">
        <v>3</v>
      </c>
      <c r="D289" s="99">
        <f t="shared" si="41"/>
        <v>-3</v>
      </c>
      <c r="E289" s="166">
        <f t="shared" si="42"/>
        <v>-100</v>
      </c>
      <c r="F289" s="173" t="s">
        <v>802</v>
      </c>
      <c r="G289" s="156"/>
      <c r="H289" s="157"/>
    </row>
    <row r="290" s="153" customFormat="1" ht="18" customHeight="1" spans="1:8">
      <c r="A290" s="172" t="s">
        <v>803</v>
      </c>
      <c r="B290" s="99">
        <v>210</v>
      </c>
      <c r="C290" s="190">
        <v>175</v>
      </c>
      <c r="D290" s="99">
        <f t="shared" si="41"/>
        <v>35</v>
      </c>
      <c r="E290" s="166">
        <f t="shared" si="42"/>
        <v>20</v>
      </c>
      <c r="F290" s="173" t="s">
        <v>804</v>
      </c>
      <c r="G290" s="156"/>
      <c r="H290" s="157"/>
    </row>
    <row r="291" s="153" customFormat="1" ht="29" customHeight="1" spans="1:8">
      <c r="A291" s="172" t="s">
        <v>805</v>
      </c>
      <c r="B291" s="99">
        <v>129</v>
      </c>
      <c r="C291" s="190">
        <v>60</v>
      </c>
      <c r="D291" s="99">
        <f t="shared" si="41"/>
        <v>69</v>
      </c>
      <c r="E291" s="166">
        <f t="shared" si="42"/>
        <v>115</v>
      </c>
      <c r="F291" s="173" t="s">
        <v>806</v>
      </c>
      <c r="G291" s="156"/>
      <c r="H291" s="157"/>
    </row>
    <row r="292" s="153" customFormat="1" ht="18" customHeight="1" spans="1:8">
      <c r="A292" s="172" t="s">
        <v>807</v>
      </c>
      <c r="B292" s="99">
        <v>427</v>
      </c>
      <c r="C292" s="190">
        <v>427</v>
      </c>
      <c r="D292" s="99">
        <f t="shared" si="41"/>
        <v>0</v>
      </c>
      <c r="E292" s="166">
        <f t="shared" si="42"/>
        <v>0</v>
      </c>
      <c r="F292" s="173" t="s">
        <v>808</v>
      </c>
      <c r="G292" s="156"/>
      <c r="H292" s="157"/>
    </row>
    <row r="293" s="153" customFormat="1" ht="18" customHeight="1" spans="1:8">
      <c r="A293" s="172" t="s">
        <v>809</v>
      </c>
      <c r="B293" s="99">
        <v>1075</v>
      </c>
      <c r="C293" s="190">
        <v>1075</v>
      </c>
      <c r="D293" s="99">
        <f t="shared" si="41"/>
        <v>0</v>
      </c>
      <c r="E293" s="166">
        <f t="shared" si="42"/>
        <v>0</v>
      </c>
      <c r="F293" s="173" t="s">
        <v>810</v>
      </c>
      <c r="G293" s="156"/>
      <c r="H293" s="157"/>
    </row>
    <row r="294" s="153" customFormat="1" ht="18" customHeight="1" spans="1:8">
      <c r="A294" s="176" t="s">
        <v>811</v>
      </c>
      <c r="B294" s="99">
        <v>100</v>
      </c>
      <c r="C294" s="190">
        <v>100</v>
      </c>
      <c r="D294" s="99">
        <f t="shared" si="41"/>
        <v>0</v>
      </c>
      <c r="E294" s="166">
        <f t="shared" si="42"/>
        <v>0</v>
      </c>
      <c r="F294" s="173"/>
      <c r="G294" s="156"/>
      <c r="H294" s="157"/>
    </row>
    <row r="295" s="153" customFormat="1" ht="18" customHeight="1" spans="1:8">
      <c r="A295" s="172" t="s">
        <v>812</v>
      </c>
      <c r="B295" s="99">
        <v>230</v>
      </c>
      <c r="C295" s="190">
        <v>230</v>
      </c>
      <c r="D295" s="99">
        <f t="shared" si="41"/>
        <v>0</v>
      </c>
      <c r="E295" s="166">
        <f t="shared" si="42"/>
        <v>0</v>
      </c>
      <c r="F295" s="173" t="s">
        <v>813</v>
      </c>
      <c r="G295" s="156"/>
      <c r="H295" s="157"/>
    </row>
    <row r="296" s="153" customFormat="1" ht="18" customHeight="1" spans="1:8">
      <c r="A296" s="176" t="s">
        <v>814</v>
      </c>
      <c r="B296" s="99">
        <v>290</v>
      </c>
      <c r="C296" s="190">
        <v>283</v>
      </c>
      <c r="D296" s="99">
        <f t="shared" si="41"/>
        <v>7</v>
      </c>
      <c r="E296" s="166">
        <f t="shared" si="42"/>
        <v>2.47349823321555</v>
      </c>
      <c r="F296" s="173" t="s">
        <v>813</v>
      </c>
      <c r="G296" s="156"/>
      <c r="H296" s="157"/>
    </row>
    <row r="297" s="153" customFormat="1" ht="18" customHeight="1" spans="1:8">
      <c r="A297" s="172" t="s">
        <v>815</v>
      </c>
      <c r="B297" s="99">
        <v>220</v>
      </c>
      <c r="C297" s="190">
        <v>220</v>
      </c>
      <c r="D297" s="99">
        <f t="shared" si="41"/>
        <v>0</v>
      </c>
      <c r="E297" s="166">
        <f t="shared" si="42"/>
        <v>0</v>
      </c>
      <c r="F297" s="173" t="s">
        <v>816</v>
      </c>
      <c r="G297" s="156"/>
      <c r="H297" s="157"/>
    </row>
    <row r="298" s="153" customFormat="1" ht="18" customHeight="1" spans="1:8">
      <c r="A298" s="172" t="s">
        <v>817</v>
      </c>
      <c r="B298" s="99">
        <v>400</v>
      </c>
      <c r="C298" s="190">
        <v>400</v>
      </c>
      <c r="D298" s="99">
        <f t="shared" si="41"/>
        <v>0</v>
      </c>
      <c r="E298" s="166">
        <f t="shared" ref="E298:E304" si="43">D298/C298*100</f>
        <v>0</v>
      </c>
      <c r="F298" s="173"/>
      <c r="G298" s="156"/>
      <c r="H298" s="157"/>
    </row>
    <row r="299" s="153" customFormat="1" ht="18" customHeight="1" spans="1:8">
      <c r="A299" s="172" t="s">
        <v>818</v>
      </c>
      <c r="B299" s="99">
        <v>100</v>
      </c>
      <c r="C299" s="190">
        <v>140</v>
      </c>
      <c r="D299" s="99">
        <f t="shared" si="41"/>
        <v>-40</v>
      </c>
      <c r="E299" s="166">
        <f t="shared" si="43"/>
        <v>-28.5714285714286</v>
      </c>
      <c r="F299" s="173" t="s">
        <v>819</v>
      </c>
      <c r="G299" s="156"/>
      <c r="H299" s="157">
        <v>40</v>
      </c>
    </row>
    <row r="300" s="153" customFormat="1" ht="18" customHeight="1" spans="1:8">
      <c r="A300" s="172" t="s">
        <v>820</v>
      </c>
      <c r="B300" s="99">
        <v>160</v>
      </c>
      <c r="C300" s="190">
        <v>160</v>
      </c>
      <c r="D300" s="99">
        <f t="shared" si="41"/>
        <v>0</v>
      </c>
      <c r="E300" s="166">
        <f t="shared" si="43"/>
        <v>0</v>
      </c>
      <c r="F300" s="173" t="s">
        <v>796</v>
      </c>
      <c r="G300" s="156"/>
      <c r="H300" s="157"/>
    </row>
    <row r="301" s="153" customFormat="1" ht="18" customHeight="1" spans="1:8">
      <c r="A301" s="172" t="s">
        <v>821</v>
      </c>
      <c r="B301" s="99">
        <v>50</v>
      </c>
      <c r="C301" s="190">
        <v>50</v>
      </c>
      <c r="D301" s="99">
        <f t="shared" si="41"/>
        <v>0</v>
      </c>
      <c r="E301" s="166">
        <f t="shared" si="43"/>
        <v>0</v>
      </c>
      <c r="F301" s="173"/>
      <c r="G301" s="156"/>
      <c r="H301" s="157"/>
    </row>
    <row r="302" s="153" customFormat="1" ht="18" customHeight="1" spans="1:8">
      <c r="A302" s="172" t="s">
        <v>822</v>
      </c>
      <c r="B302" s="99">
        <v>440</v>
      </c>
      <c r="C302" s="190">
        <v>440</v>
      </c>
      <c r="D302" s="99">
        <f t="shared" si="41"/>
        <v>0</v>
      </c>
      <c r="E302" s="166">
        <f t="shared" si="43"/>
        <v>0</v>
      </c>
      <c r="F302" s="173" t="s">
        <v>796</v>
      </c>
      <c r="G302" s="156"/>
      <c r="H302" s="157"/>
    </row>
    <row r="303" s="153" customFormat="1" ht="17.1" customHeight="1" spans="1:8">
      <c r="A303" s="172" t="s">
        <v>823</v>
      </c>
      <c r="B303" s="99">
        <v>900</v>
      </c>
      <c r="C303" s="190">
        <v>900</v>
      </c>
      <c r="D303" s="99">
        <f t="shared" si="41"/>
        <v>0</v>
      </c>
      <c r="E303" s="166">
        <f t="shared" si="43"/>
        <v>0</v>
      </c>
      <c r="F303" s="173"/>
      <c r="G303" s="156"/>
      <c r="H303" s="157"/>
    </row>
    <row r="304" s="153" customFormat="1" ht="17.1" customHeight="1" spans="1:8">
      <c r="A304" s="172" t="s">
        <v>824</v>
      </c>
      <c r="B304" s="99">
        <v>2000</v>
      </c>
      <c r="C304" s="190">
        <v>0</v>
      </c>
      <c r="D304" s="99">
        <v>2000</v>
      </c>
      <c r="E304" s="166">
        <v>100</v>
      </c>
      <c r="F304" s="173" t="s">
        <v>825</v>
      </c>
      <c r="G304" s="156"/>
      <c r="H304" s="157"/>
    </row>
    <row r="305" s="153" customFormat="1" ht="17.1" customHeight="1" spans="1:8">
      <c r="A305" s="172" t="s">
        <v>826</v>
      </c>
      <c r="B305" s="99">
        <v>700</v>
      </c>
      <c r="C305" s="190">
        <v>150</v>
      </c>
      <c r="D305" s="99">
        <v>550</v>
      </c>
      <c r="E305" s="166">
        <f>D305/C305*100</f>
        <v>366.666666666667</v>
      </c>
      <c r="F305" s="173" t="s">
        <v>827</v>
      </c>
      <c r="G305" s="156"/>
      <c r="H305" s="157"/>
    </row>
    <row r="306" s="153" customFormat="1" ht="18" customHeight="1" spans="1:8">
      <c r="A306" s="172" t="s">
        <v>828</v>
      </c>
      <c r="B306" s="99">
        <f>C306*0.8</f>
        <v>128</v>
      </c>
      <c r="C306" s="190">
        <v>160</v>
      </c>
      <c r="D306" s="99">
        <f t="shared" ref="D306:D341" si="44">B306-C306</f>
        <v>-32</v>
      </c>
      <c r="E306" s="166">
        <f t="shared" ref="E306:E316" si="45">D306/C306*100</f>
        <v>-20</v>
      </c>
      <c r="F306" s="173" t="s">
        <v>829</v>
      </c>
      <c r="G306" s="156"/>
      <c r="H306" s="157">
        <v>32</v>
      </c>
    </row>
    <row r="307" s="153" customFormat="1" ht="59" customHeight="1" spans="1:8">
      <c r="A307" s="172" t="s">
        <v>830</v>
      </c>
      <c r="B307" s="99">
        <v>130</v>
      </c>
      <c r="C307" s="190">
        <v>146</v>
      </c>
      <c r="D307" s="99">
        <f t="shared" si="44"/>
        <v>-16</v>
      </c>
      <c r="E307" s="166">
        <f t="shared" si="45"/>
        <v>-10.958904109589</v>
      </c>
      <c r="F307" s="173" t="s">
        <v>831</v>
      </c>
      <c r="G307" s="156"/>
      <c r="H307" s="157">
        <v>16</v>
      </c>
    </row>
    <row r="308" s="153" customFormat="1" ht="18" customHeight="1" spans="1:8">
      <c r="A308" s="176" t="s">
        <v>832</v>
      </c>
      <c r="B308" s="99">
        <f>SUM(B309:B315)</f>
        <v>1442</v>
      </c>
      <c r="C308" s="189">
        <f>SUM(C309:C315)</f>
        <v>1293</v>
      </c>
      <c r="D308" s="99">
        <f t="shared" si="44"/>
        <v>149</v>
      </c>
      <c r="E308" s="166">
        <f t="shared" si="45"/>
        <v>11.523588553751</v>
      </c>
      <c r="F308" s="173" t="s">
        <v>833</v>
      </c>
      <c r="G308" s="156"/>
      <c r="H308" s="157"/>
    </row>
    <row r="309" s="153" customFormat="1" ht="18" customHeight="1" spans="1:8">
      <c r="A309" s="172" t="s">
        <v>834</v>
      </c>
      <c r="B309" s="99">
        <v>150</v>
      </c>
      <c r="C309" s="190">
        <v>150</v>
      </c>
      <c r="D309" s="99">
        <f t="shared" si="44"/>
        <v>0</v>
      </c>
      <c r="E309" s="166">
        <f t="shared" si="45"/>
        <v>0</v>
      </c>
      <c r="F309" s="173"/>
      <c r="G309" s="156"/>
      <c r="H309" s="157"/>
    </row>
    <row r="310" s="153" customFormat="1" ht="18" customHeight="1" spans="1:8">
      <c r="A310" s="172" t="s">
        <v>835</v>
      </c>
      <c r="B310" s="99">
        <v>400</v>
      </c>
      <c r="C310" s="190">
        <v>400</v>
      </c>
      <c r="D310" s="99">
        <f t="shared" si="44"/>
        <v>0</v>
      </c>
      <c r="E310" s="166">
        <f t="shared" si="45"/>
        <v>0</v>
      </c>
      <c r="F310" s="173" t="s">
        <v>836</v>
      </c>
      <c r="G310" s="156"/>
      <c r="H310" s="157"/>
    </row>
    <row r="311" s="153" customFormat="1" ht="18" customHeight="1" spans="1:8">
      <c r="A311" s="172" t="s">
        <v>837</v>
      </c>
      <c r="B311" s="99">
        <v>100</v>
      </c>
      <c r="C311" s="190">
        <v>100</v>
      </c>
      <c r="D311" s="99">
        <f t="shared" si="44"/>
        <v>0</v>
      </c>
      <c r="E311" s="166">
        <f t="shared" si="45"/>
        <v>0</v>
      </c>
      <c r="F311" s="173"/>
      <c r="G311" s="156"/>
      <c r="H311" s="157"/>
    </row>
    <row r="312" s="153" customFormat="1" ht="18" customHeight="1" spans="1:8">
      <c r="A312" s="172" t="s">
        <v>838</v>
      </c>
      <c r="B312" s="99">
        <v>50</v>
      </c>
      <c r="C312" s="190">
        <v>50</v>
      </c>
      <c r="D312" s="99">
        <f t="shared" si="44"/>
        <v>0</v>
      </c>
      <c r="E312" s="166">
        <f t="shared" si="45"/>
        <v>0</v>
      </c>
      <c r="F312" s="173"/>
      <c r="G312" s="156"/>
      <c r="H312" s="157"/>
    </row>
    <row r="313" s="153" customFormat="1" ht="18" customHeight="1" spans="1:8">
      <c r="A313" s="172" t="s">
        <v>839</v>
      </c>
      <c r="B313" s="99">
        <v>200</v>
      </c>
      <c r="C313" s="190">
        <v>200</v>
      </c>
      <c r="D313" s="99">
        <f t="shared" si="44"/>
        <v>0</v>
      </c>
      <c r="E313" s="166">
        <f t="shared" si="45"/>
        <v>0</v>
      </c>
      <c r="F313" s="173"/>
      <c r="G313" s="156"/>
      <c r="H313" s="157"/>
    </row>
    <row r="314" s="153" customFormat="1" ht="18" customHeight="1" spans="1:8">
      <c r="A314" s="172" t="s">
        <v>840</v>
      </c>
      <c r="B314" s="99">
        <v>492</v>
      </c>
      <c r="C314" s="190">
        <v>343</v>
      </c>
      <c r="D314" s="99">
        <f t="shared" si="44"/>
        <v>149</v>
      </c>
      <c r="E314" s="166">
        <f t="shared" si="45"/>
        <v>43.4402332361516</v>
      </c>
      <c r="F314" s="173"/>
      <c r="G314" s="156"/>
      <c r="H314" s="157"/>
    </row>
    <row r="315" s="153" customFormat="1" ht="18" customHeight="1" spans="1:8">
      <c r="A315" s="172" t="s">
        <v>841</v>
      </c>
      <c r="B315" s="99">
        <v>50</v>
      </c>
      <c r="C315" s="190">
        <v>50</v>
      </c>
      <c r="D315" s="99">
        <f t="shared" si="44"/>
        <v>0</v>
      </c>
      <c r="E315" s="166">
        <f t="shared" si="45"/>
        <v>0</v>
      </c>
      <c r="F315" s="173"/>
      <c r="G315" s="156"/>
      <c r="H315" s="157"/>
    </row>
    <row r="316" s="153" customFormat="1" ht="18" customHeight="1" spans="1:8">
      <c r="A316" s="172" t="s">
        <v>842</v>
      </c>
      <c r="B316" s="99">
        <v>271</v>
      </c>
      <c r="C316" s="189">
        <v>213</v>
      </c>
      <c r="D316" s="99">
        <f t="shared" si="44"/>
        <v>58</v>
      </c>
      <c r="E316" s="166">
        <f t="shared" si="45"/>
        <v>27.2300469483568</v>
      </c>
      <c r="F316" s="173" t="s">
        <v>843</v>
      </c>
      <c r="G316" s="156"/>
      <c r="H316" s="157"/>
    </row>
    <row r="317" s="152" customFormat="1" ht="18" customHeight="1" spans="1:8">
      <c r="A317" s="172" t="s">
        <v>844</v>
      </c>
      <c r="B317" s="99">
        <f>SUM(B318:B320)</f>
        <v>40</v>
      </c>
      <c r="C317" s="189">
        <f>SUM(C318:C320)</f>
        <v>55</v>
      </c>
      <c r="D317" s="99">
        <f t="shared" si="44"/>
        <v>-15</v>
      </c>
      <c r="E317" s="166">
        <f t="shared" ref="E317:E355" si="46">D317/C317*100</f>
        <v>-27.2727272727273</v>
      </c>
      <c r="F317" s="179"/>
      <c r="G317" s="156"/>
      <c r="H317" s="168">
        <v>15</v>
      </c>
    </row>
    <row r="318" s="153" customFormat="1" ht="18" customHeight="1" spans="1:8">
      <c r="A318" s="172" t="s">
        <v>845</v>
      </c>
      <c r="B318" s="99">
        <f>C318*0.8</f>
        <v>16</v>
      </c>
      <c r="C318" s="189">
        <v>20</v>
      </c>
      <c r="D318" s="99">
        <f t="shared" si="44"/>
        <v>-4</v>
      </c>
      <c r="E318" s="166">
        <f t="shared" si="46"/>
        <v>-20</v>
      </c>
      <c r="F318" s="179"/>
      <c r="G318" s="156"/>
      <c r="H318" s="157"/>
    </row>
    <row r="319" s="153" customFormat="1" ht="18" customHeight="1" spans="1:8">
      <c r="A319" s="172" t="s">
        <v>846</v>
      </c>
      <c r="B319" s="99"/>
      <c r="C319" s="189">
        <v>5</v>
      </c>
      <c r="D319" s="99">
        <f t="shared" si="44"/>
        <v>-5</v>
      </c>
      <c r="E319" s="166">
        <f t="shared" si="46"/>
        <v>-100</v>
      </c>
      <c r="F319" s="179" t="s">
        <v>847</v>
      </c>
      <c r="G319" s="156"/>
      <c r="H319" s="157"/>
    </row>
    <row r="320" s="153" customFormat="1" ht="18" customHeight="1" spans="1:8">
      <c r="A320" s="172" t="s">
        <v>848</v>
      </c>
      <c r="B320" s="99">
        <f>C320*0.8</f>
        <v>24</v>
      </c>
      <c r="C320" s="189">
        <v>30</v>
      </c>
      <c r="D320" s="99">
        <f t="shared" si="44"/>
        <v>-6</v>
      </c>
      <c r="E320" s="166">
        <f t="shared" si="46"/>
        <v>-20</v>
      </c>
      <c r="F320" s="179" t="s">
        <v>849</v>
      </c>
      <c r="G320" s="156"/>
      <c r="H320" s="157"/>
    </row>
    <row r="321" s="153" customFormat="1" ht="18" customHeight="1" spans="1:8">
      <c r="A321" s="169" t="s">
        <v>257</v>
      </c>
      <c r="B321" s="193">
        <f>B322+B323+B324</f>
        <v>459</v>
      </c>
      <c r="C321" s="193">
        <f>C322+C323+C324</f>
        <v>402</v>
      </c>
      <c r="D321" s="99">
        <f t="shared" si="44"/>
        <v>57</v>
      </c>
      <c r="E321" s="166">
        <f t="shared" si="46"/>
        <v>14.1791044776119</v>
      </c>
      <c r="F321" s="171"/>
      <c r="G321" s="156"/>
      <c r="H321" s="157"/>
    </row>
    <row r="322" s="153" customFormat="1" ht="18" customHeight="1" spans="1:8">
      <c r="A322" s="172" t="s">
        <v>375</v>
      </c>
      <c r="B322" s="99">
        <v>24</v>
      </c>
      <c r="C322" s="189">
        <v>32</v>
      </c>
      <c r="D322" s="99">
        <f t="shared" si="44"/>
        <v>-8</v>
      </c>
      <c r="E322" s="166">
        <f t="shared" si="46"/>
        <v>-25</v>
      </c>
      <c r="F322" s="179" t="s">
        <v>545</v>
      </c>
      <c r="G322" s="156"/>
      <c r="H322" s="157">
        <v>8</v>
      </c>
    </row>
    <row r="323" s="153" customFormat="1" ht="18" customHeight="1" spans="1:8">
      <c r="A323" s="172" t="s">
        <v>850</v>
      </c>
      <c r="B323" s="99">
        <v>64</v>
      </c>
      <c r="C323" s="189">
        <v>66</v>
      </c>
      <c r="D323" s="99">
        <f t="shared" si="44"/>
        <v>-2</v>
      </c>
      <c r="E323" s="166">
        <f t="shared" si="46"/>
        <v>-3.03030303030303</v>
      </c>
      <c r="F323" s="179" t="s">
        <v>851</v>
      </c>
      <c r="G323" s="156"/>
      <c r="H323" s="157">
        <v>4.8</v>
      </c>
    </row>
    <row r="324" s="153" customFormat="1" ht="18" customHeight="1" spans="1:8">
      <c r="A324" s="172" t="s">
        <v>852</v>
      </c>
      <c r="B324" s="99">
        <v>371</v>
      </c>
      <c r="C324" s="189">
        <v>304</v>
      </c>
      <c r="D324" s="99">
        <f t="shared" si="44"/>
        <v>67</v>
      </c>
      <c r="E324" s="166">
        <f t="shared" si="46"/>
        <v>22.0394736842105</v>
      </c>
      <c r="F324" s="179" t="s">
        <v>853</v>
      </c>
      <c r="G324" s="156"/>
      <c r="H324" s="157"/>
    </row>
    <row r="325" s="153" customFormat="1" ht="18" customHeight="1" spans="1:8">
      <c r="A325" s="182" t="s">
        <v>854</v>
      </c>
      <c r="B325" s="99">
        <f>C325*0.8</f>
        <v>2.4</v>
      </c>
      <c r="C325" s="189">
        <v>3</v>
      </c>
      <c r="D325" s="99">
        <f t="shared" si="44"/>
        <v>-0.6</v>
      </c>
      <c r="E325" s="166">
        <f t="shared" si="46"/>
        <v>-20</v>
      </c>
      <c r="F325" s="179" t="s">
        <v>855</v>
      </c>
      <c r="G325" s="156"/>
      <c r="H325" s="157">
        <v>0.6</v>
      </c>
    </row>
    <row r="326" s="153" customFormat="1" ht="18" customHeight="1" spans="1:8">
      <c r="A326" s="182" t="s">
        <v>856</v>
      </c>
      <c r="B326" s="99">
        <f>C326*0.8</f>
        <v>2.4</v>
      </c>
      <c r="C326" s="189">
        <v>3</v>
      </c>
      <c r="D326" s="99">
        <f t="shared" si="44"/>
        <v>-0.6</v>
      </c>
      <c r="E326" s="166">
        <f t="shared" si="46"/>
        <v>-20</v>
      </c>
      <c r="F326" s="179" t="s">
        <v>855</v>
      </c>
      <c r="G326" s="156"/>
      <c r="H326" s="157">
        <v>0.6</v>
      </c>
    </row>
    <row r="327" s="153" customFormat="1" ht="18" customHeight="1" spans="1:8">
      <c r="A327" s="182" t="s">
        <v>857</v>
      </c>
      <c r="B327" s="99">
        <v>20</v>
      </c>
      <c r="C327" s="189">
        <v>20</v>
      </c>
      <c r="D327" s="99">
        <f t="shared" si="44"/>
        <v>0</v>
      </c>
      <c r="E327" s="166">
        <f t="shared" si="46"/>
        <v>0</v>
      </c>
      <c r="F327" s="179"/>
      <c r="G327" s="156"/>
      <c r="H327" s="157"/>
    </row>
    <row r="328" s="153" customFormat="1" ht="18" customHeight="1" spans="1:8">
      <c r="A328" s="182" t="s">
        <v>858</v>
      </c>
      <c r="B328" s="99">
        <f>C328*0.8</f>
        <v>36</v>
      </c>
      <c r="C328" s="189">
        <v>45</v>
      </c>
      <c r="D328" s="99">
        <f t="shared" si="44"/>
        <v>-9</v>
      </c>
      <c r="E328" s="166">
        <f t="shared" si="46"/>
        <v>-20</v>
      </c>
      <c r="F328" s="179" t="s">
        <v>859</v>
      </c>
      <c r="G328" s="156"/>
      <c r="H328" s="157">
        <v>9</v>
      </c>
    </row>
    <row r="329" s="153" customFormat="1" ht="18" customHeight="1" spans="1:8">
      <c r="A329" s="169" t="s">
        <v>260</v>
      </c>
      <c r="B329" s="170">
        <f>B330+B348+B349+B351+B357+B366+B365</f>
        <v>838.2</v>
      </c>
      <c r="C329" s="170">
        <f>C330+C348+C349+C351+C357+C366+C365</f>
        <v>939.8</v>
      </c>
      <c r="D329" s="99">
        <f t="shared" si="44"/>
        <v>-101.6</v>
      </c>
      <c r="E329" s="166">
        <f t="shared" si="46"/>
        <v>-10.8108108108108</v>
      </c>
      <c r="F329" s="171"/>
      <c r="G329" s="156"/>
      <c r="H329" s="157"/>
    </row>
    <row r="330" s="153" customFormat="1" ht="18" customHeight="1" spans="1:8">
      <c r="A330" s="172" t="s">
        <v>860</v>
      </c>
      <c r="B330" s="99">
        <f>SUM(B331:B347)</f>
        <v>200</v>
      </c>
      <c r="C330" s="99">
        <f>SUM(C331:C347)</f>
        <v>245</v>
      </c>
      <c r="D330" s="99">
        <f t="shared" si="44"/>
        <v>-45</v>
      </c>
      <c r="E330" s="166">
        <f t="shared" si="46"/>
        <v>-18.3673469387755</v>
      </c>
      <c r="F330" s="173"/>
      <c r="G330" s="156"/>
      <c r="H330" s="157">
        <v>45</v>
      </c>
    </row>
    <row r="331" s="153" customFormat="1" ht="18.95" customHeight="1" spans="1:8">
      <c r="A331" s="172" t="s">
        <v>861</v>
      </c>
      <c r="B331" s="99">
        <f>C331*0.8</f>
        <v>20.8</v>
      </c>
      <c r="C331" s="99">
        <v>26</v>
      </c>
      <c r="D331" s="99">
        <f t="shared" si="44"/>
        <v>-5.2</v>
      </c>
      <c r="E331" s="166">
        <f t="shared" si="46"/>
        <v>-20</v>
      </c>
      <c r="F331" s="173"/>
      <c r="G331" s="194"/>
      <c r="H331" s="157"/>
    </row>
    <row r="332" s="153" customFormat="1" ht="18" customHeight="1" spans="1:8">
      <c r="A332" s="172" t="s">
        <v>862</v>
      </c>
      <c r="B332" s="99">
        <f t="shared" ref="B332:B348" si="47">C332*0.8</f>
        <v>9.6</v>
      </c>
      <c r="C332" s="99">
        <v>12</v>
      </c>
      <c r="D332" s="99">
        <f t="shared" si="44"/>
        <v>-2.4</v>
      </c>
      <c r="E332" s="166">
        <f t="shared" si="46"/>
        <v>-20</v>
      </c>
      <c r="F332" s="173"/>
      <c r="G332" s="156"/>
      <c r="H332" s="157"/>
    </row>
    <row r="333" s="153" customFormat="1" ht="18" customHeight="1" spans="1:8">
      <c r="A333" s="172" t="s">
        <v>863</v>
      </c>
      <c r="B333" s="99">
        <f t="shared" si="47"/>
        <v>9.6</v>
      </c>
      <c r="C333" s="99">
        <v>12</v>
      </c>
      <c r="D333" s="99">
        <f t="shared" si="44"/>
        <v>-2.4</v>
      </c>
      <c r="E333" s="166">
        <f t="shared" si="46"/>
        <v>-20</v>
      </c>
      <c r="F333" s="173"/>
      <c r="G333" s="156"/>
      <c r="H333" s="157"/>
    </row>
    <row r="334" s="153" customFormat="1" ht="18" customHeight="1" spans="1:8">
      <c r="A334" s="172" t="s">
        <v>864</v>
      </c>
      <c r="B334" s="99">
        <f t="shared" si="47"/>
        <v>14.4</v>
      </c>
      <c r="C334" s="99">
        <v>18</v>
      </c>
      <c r="D334" s="99">
        <f t="shared" si="44"/>
        <v>-3.6</v>
      </c>
      <c r="E334" s="166">
        <f t="shared" si="46"/>
        <v>-20</v>
      </c>
      <c r="F334" s="173"/>
      <c r="G334" s="156"/>
      <c r="H334" s="157"/>
    </row>
    <row r="335" s="153" customFormat="1" ht="18" customHeight="1" spans="1:8">
      <c r="A335" s="172" t="s">
        <v>865</v>
      </c>
      <c r="B335" s="99">
        <f t="shared" si="47"/>
        <v>8</v>
      </c>
      <c r="C335" s="99">
        <v>10</v>
      </c>
      <c r="D335" s="99">
        <f t="shared" si="44"/>
        <v>-2</v>
      </c>
      <c r="E335" s="166">
        <f t="shared" si="46"/>
        <v>-20</v>
      </c>
      <c r="F335" s="173"/>
      <c r="G335" s="156"/>
      <c r="H335" s="157"/>
    </row>
    <row r="336" s="153" customFormat="1" ht="18" customHeight="1" spans="1:8">
      <c r="A336" s="172" t="s">
        <v>866</v>
      </c>
      <c r="B336" s="99">
        <f t="shared" si="47"/>
        <v>8</v>
      </c>
      <c r="C336" s="99">
        <v>10</v>
      </c>
      <c r="D336" s="99">
        <f t="shared" si="44"/>
        <v>-2</v>
      </c>
      <c r="E336" s="166">
        <f t="shared" si="46"/>
        <v>-20</v>
      </c>
      <c r="F336" s="173"/>
      <c r="G336" s="156"/>
      <c r="H336" s="157"/>
    </row>
    <row r="337" s="153" customFormat="1" ht="18" customHeight="1" spans="1:8">
      <c r="A337" s="172" t="s">
        <v>867</v>
      </c>
      <c r="B337" s="99">
        <f t="shared" si="47"/>
        <v>12</v>
      </c>
      <c r="C337" s="99">
        <v>15</v>
      </c>
      <c r="D337" s="99">
        <f t="shared" si="44"/>
        <v>-3</v>
      </c>
      <c r="E337" s="166">
        <f t="shared" si="46"/>
        <v>-20</v>
      </c>
      <c r="F337" s="173"/>
      <c r="G337" s="156"/>
      <c r="H337" s="157"/>
    </row>
    <row r="338" s="153" customFormat="1" ht="18" customHeight="1" spans="1:8">
      <c r="A338" s="172" t="s">
        <v>868</v>
      </c>
      <c r="B338" s="99">
        <f t="shared" si="47"/>
        <v>8</v>
      </c>
      <c r="C338" s="99">
        <v>10</v>
      </c>
      <c r="D338" s="99">
        <f t="shared" si="44"/>
        <v>-2</v>
      </c>
      <c r="E338" s="166">
        <f t="shared" si="46"/>
        <v>-20</v>
      </c>
      <c r="F338" s="173"/>
      <c r="G338" s="156"/>
      <c r="H338" s="157"/>
    </row>
    <row r="339" s="153" customFormat="1" ht="18" customHeight="1" spans="1:8">
      <c r="A339" s="172" t="s">
        <v>869</v>
      </c>
      <c r="B339" s="99">
        <f t="shared" si="47"/>
        <v>16</v>
      </c>
      <c r="C339" s="99">
        <v>20</v>
      </c>
      <c r="D339" s="99">
        <f t="shared" si="44"/>
        <v>-4</v>
      </c>
      <c r="E339" s="166">
        <f t="shared" si="46"/>
        <v>-20</v>
      </c>
      <c r="F339" s="173"/>
      <c r="G339" s="156"/>
      <c r="H339" s="157"/>
    </row>
    <row r="340" s="153" customFormat="1" ht="18" customHeight="1" spans="1:8">
      <c r="A340" s="172" t="s">
        <v>870</v>
      </c>
      <c r="B340" s="99">
        <f t="shared" si="47"/>
        <v>8</v>
      </c>
      <c r="C340" s="99">
        <v>10</v>
      </c>
      <c r="D340" s="99">
        <f t="shared" si="44"/>
        <v>-2</v>
      </c>
      <c r="E340" s="166">
        <f t="shared" si="46"/>
        <v>-20</v>
      </c>
      <c r="F340" s="173"/>
      <c r="G340" s="156"/>
      <c r="H340" s="157"/>
    </row>
    <row r="341" s="153" customFormat="1" ht="18" customHeight="1" spans="1:8">
      <c r="A341" s="172" t="s">
        <v>871</v>
      </c>
      <c r="B341" s="99">
        <f t="shared" si="47"/>
        <v>12</v>
      </c>
      <c r="C341" s="99">
        <v>15</v>
      </c>
      <c r="D341" s="99">
        <f t="shared" si="44"/>
        <v>-3</v>
      </c>
      <c r="E341" s="166">
        <f t="shared" si="46"/>
        <v>-20</v>
      </c>
      <c r="F341" s="173"/>
      <c r="G341" s="156"/>
      <c r="H341" s="157"/>
    </row>
    <row r="342" s="152" customFormat="1" ht="18" customHeight="1" spans="1:8">
      <c r="A342" s="172" t="s">
        <v>872</v>
      </c>
      <c r="B342" s="99">
        <f t="shared" si="47"/>
        <v>5.6</v>
      </c>
      <c r="C342" s="99">
        <v>7</v>
      </c>
      <c r="D342" s="99">
        <f t="shared" ref="D342:D395" si="48">B342-C342</f>
        <v>-1.4</v>
      </c>
      <c r="E342" s="166">
        <f t="shared" si="46"/>
        <v>-20</v>
      </c>
      <c r="F342" s="173"/>
      <c r="G342" s="156"/>
      <c r="H342" s="168"/>
    </row>
    <row r="343" s="153" customFormat="1" ht="18" customHeight="1" spans="1:8">
      <c r="A343" s="172" t="s">
        <v>873</v>
      </c>
      <c r="B343" s="99">
        <f t="shared" si="47"/>
        <v>8</v>
      </c>
      <c r="C343" s="99">
        <v>10</v>
      </c>
      <c r="D343" s="99">
        <f t="shared" si="48"/>
        <v>-2</v>
      </c>
      <c r="E343" s="166">
        <f t="shared" si="46"/>
        <v>-20</v>
      </c>
      <c r="F343" s="173"/>
      <c r="G343" s="156"/>
      <c r="H343" s="157"/>
    </row>
    <row r="344" s="153" customFormat="1" ht="18" customHeight="1" spans="1:8">
      <c r="A344" s="172" t="s">
        <v>874</v>
      </c>
      <c r="B344" s="99">
        <f t="shared" si="47"/>
        <v>8</v>
      </c>
      <c r="C344" s="99">
        <v>10</v>
      </c>
      <c r="D344" s="99">
        <f t="shared" si="48"/>
        <v>-2</v>
      </c>
      <c r="E344" s="166">
        <f t="shared" si="46"/>
        <v>-20</v>
      </c>
      <c r="F344" s="173"/>
      <c r="G344" s="156"/>
      <c r="H344" s="157"/>
    </row>
    <row r="345" s="153" customFormat="1" ht="18" customHeight="1" spans="1:8">
      <c r="A345" s="172" t="s">
        <v>875</v>
      </c>
      <c r="B345" s="99">
        <f t="shared" si="47"/>
        <v>8</v>
      </c>
      <c r="C345" s="99">
        <v>10</v>
      </c>
      <c r="D345" s="99">
        <f t="shared" si="48"/>
        <v>-2</v>
      </c>
      <c r="E345" s="166">
        <f t="shared" si="46"/>
        <v>-20</v>
      </c>
      <c r="F345" s="173"/>
      <c r="G345" s="156"/>
      <c r="H345" s="157"/>
    </row>
    <row r="346" s="153" customFormat="1" ht="18" customHeight="1" spans="1:8">
      <c r="A346" s="172" t="s">
        <v>876</v>
      </c>
      <c r="B346" s="99">
        <v>20</v>
      </c>
      <c r="C346" s="99">
        <v>20</v>
      </c>
      <c r="D346" s="99">
        <f t="shared" si="48"/>
        <v>0</v>
      </c>
      <c r="E346" s="166">
        <f t="shared" si="46"/>
        <v>0</v>
      </c>
      <c r="F346" s="173" t="s">
        <v>877</v>
      </c>
      <c r="G346" s="156"/>
      <c r="H346" s="157"/>
    </row>
    <row r="347" s="153" customFormat="1" ht="18" customHeight="1" spans="1:8">
      <c r="A347" s="172" t="s">
        <v>878</v>
      </c>
      <c r="B347" s="99">
        <f t="shared" si="47"/>
        <v>24</v>
      </c>
      <c r="C347" s="99">
        <v>30</v>
      </c>
      <c r="D347" s="99">
        <f t="shared" si="48"/>
        <v>-6</v>
      </c>
      <c r="E347" s="166">
        <f t="shared" si="46"/>
        <v>-20</v>
      </c>
      <c r="F347" s="173" t="s">
        <v>879</v>
      </c>
      <c r="G347" s="156"/>
      <c r="H347" s="157"/>
    </row>
    <row r="348" s="153" customFormat="1" ht="18" customHeight="1" spans="1:8">
      <c r="A348" s="172" t="s">
        <v>880</v>
      </c>
      <c r="B348" s="99">
        <f t="shared" si="47"/>
        <v>24</v>
      </c>
      <c r="C348" s="99">
        <v>30</v>
      </c>
      <c r="D348" s="99">
        <f t="shared" si="48"/>
        <v>-6</v>
      </c>
      <c r="E348" s="166">
        <f t="shared" si="46"/>
        <v>-20</v>
      </c>
      <c r="F348" s="179"/>
      <c r="G348" s="156"/>
      <c r="H348" s="157">
        <v>6</v>
      </c>
    </row>
    <row r="349" s="153" customFormat="1" ht="18" customHeight="1" spans="1:8">
      <c r="A349" s="195" t="s">
        <v>881</v>
      </c>
      <c r="B349" s="196">
        <f>SUM(B350:B350)</f>
        <v>9.6</v>
      </c>
      <c r="C349" s="196">
        <f>SUM(C350:C350)</f>
        <v>12</v>
      </c>
      <c r="D349" s="99">
        <f t="shared" si="48"/>
        <v>-2.4</v>
      </c>
      <c r="E349" s="166">
        <f t="shared" si="46"/>
        <v>-20</v>
      </c>
      <c r="F349" s="179"/>
      <c r="G349" s="156"/>
      <c r="H349" s="157">
        <v>2.4</v>
      </c>
    </row>
    <row r="350" s="153" customFormat="1" ht="18" customHeight="1" spans="1:8">
      <c r="A350" s="197" t="s">
        <v>882</v>
      </c>
      <c r="B350" s="196">
        <f>C350*0.8</f>
        <v>9.6</v>
      </c>
      <c r="C350" s="196">
        <v>12</v>
      </c>
      <c r="D350" s="99">
        <f t="shared" si="48"/>
        <v>-2.4</v>
      </c>
      <c r="E350" s="166">
        <f t="shared" si="46"/>
        <v>-20</v>
      </c>
      <c r="F350" s="179"/>
      <c r="G350" s="156"/>
      <c r="H350" s="157"/>
    </row>
    <row r="351" s="153" customFormat="1" ht="18" customHeight="1" spans="1:8">
      <c r="A351" s="172" t="s">
        <v>883</v>
      </c>
      <c r="B351" s="99">
        <f>SUM(B352:B356)</f>
        <v>53</v>
      </c>
      <c r="C351" s="99">
        <f>SUM(C352:C356)</f>
        <v>65</v>
      </c>
      <c r="D351" s="99">
        <f t="shared" si="48"/>
        <v>-12</v>
      </c>
      <c r="E351" s="166">
        <f t="shared" si="46"/>
        <v>-18.4615384615385</v>
      </c>
      <c r="F351" s="179"/>
      <c r="G351" s="156"/>
      <c r="H351" s="157">
        <v>12</v>
      </c>
    </row>
    <row r="352" s="153" customFormat="1" ht="18" customHeight="1" spans="1:8">
      <c r="A352" s="172" t="s">
        <v>884</v>
      </c>
      <c r="B352" s="99">
        <f>C352*0.8</f>
        <v>16</v>
      </c>
      <c r="C352" s="99">
        <v>20</v>
      </c>
      <c r="D352" s="99">
        <f t="shared" si="48"/>
        <v>-4</v>
      </c>
      <c r="E352" s="166">
        <f t="shared" si="46"/>
        <v>-20</v>
      </c>
      <c r="F352" s="179"/>
      <c r="G352" s="156"/>
      <c r="H352" s="157"/>
    </row>
    <row r="353" s="153" customFormat="1" ht="18" customHeight="1" spans="1:8">
      <c r="A353" s="172" t="s">
        <v>885</v>
      </c>
      <c r="B353" s="99">
        <v>5</v>
      </c>
      <c r="C353" s="99">
        <v>5</v>
      </c>
      <c r="D353" s="99">
        <f t="shared" si="48"/>
        <v>0</v>
      </c>
      <c r="E353" s="166">
        <f t="shared" si="46"/>
        <v>0</v>
      </c>
      <c r="F353" s="179"/>
      <c r="G353" s="156"/>
      <c r="H353" s="157"/>
    </row>
    <row r="354" s="153" customFormat="1" ht="17.1" customHeight="1" spans="1:8">
      <c r="A354" s="172" t="s">
        <v>886</v>
      </c>
      <c r="B354" s="99">
        <f>C354*0.8</f>
        <v>8</v>
      </c>
      <c r="C354" s="99">
        <v>10</v>
      </c>
      <c r="D354" s="99">
        <f t="shared" si="48"/>
        <v>-2</v>
      </c>
      <c r="E354" s="166">
        <f t="shared" si="46"/>
        <v>-20</v>
      </c>
      <c r="F354" s="179"/>
      <c r="G354" s="156"/>
      <c r="H354" s="157"/>
    </row>
    <row r="355" s="153" customFormat="1" ht="17.1" customHeight="1" spans="1:8">
      <c r="A355" s="172" t="s">
        <v>887</v>
      </c>
      <c r="B355" s="99">
        <f>C355*0.8</f>
        <v>16</v>
      </c>
      <c r="C355" s="99">
        <v>20</v>
      </c>
      <c r="D355" s="99">
        <f t="shared" si="48"/>
        <v>-4</v>
      </c>
      <c r="E355" s="166">
        <f t="shared" si="46"/>
        <v>-20</v>
      </c>
      <c r="F355" s="179"/>
      <c r="G355" s="156"/>
      <c r="H355" s="157"/>
    </row>
    <row r="356" s="153" customFormat="1" ht="18" customHeight="1" spans="1:8">
      <c r="A356" s="172" t="s">
        <v>888</v>
      </c>
      <c r="B356" s="99">
        <f>C356*0.8</f>
        <v>8</v>
      </c>
      <c r="C356" s="99">
        <v>10</v>
      </c>
      <c r="D356" s="99">
        <f t="shared" si="48"/>
        <v>-2</v>
      </c>
      <c r="E356" s="166">
        <f t="shared" ref="E356:E362" si="49">D356/C356*100</f>
        <v>-20</v>
      </c>
      <c r="F356" s="179"/>
      <c r="G356" s="156"/>
      <c r="H356" s="157"/>
    </row>
    <row r="357" s="153" customFormat="1" ht="18" customHeight="1" spans="1:8">
      <c r="A357" s="172" t="s">
        <v>889</v>
      </c>
      <c r="B357" s="99">
        <f>SUM(B358:B364)</f>
        <v>239.6</v>
      </c>
      <c r="C357" s="99">
        <f>SUM(C358:C364)</f>
        <v>272.8</v>
      </c>
      <c r="D357" s="99">
        <f t="shared" si="48"/>
        <v>-33.2</v>
      </c>
      <c r="E357" s="166">
        <f t="shared" si="49"/>
        <v>-12.1700879765396</v>
      </c>
      <c r="F357" s="179"/>
      <c r="G357" s="156"/>
      <c r="H357" s="157">
        <v>38.2</v>
      </c>
    </row>
    <row r="358" s="153" customFormat="1" ht="18" customHeight="1" spans="1:8">
      <c r="A358" s="172" t="s">
        <v>890</v>
      </c>
      <c r="B358" s="99">
        <v>25</v>
      </c>
      <c r="C358" s="99">
        <v>25</v>
      </c>
      <c r="D358" s="99">
        <f t="shared" si="48"/>
        <v>0</v>
      </c>
      <c r="E358" s="166">
        <f t="shared" si="49"/>
        <v>0</v>
      </c>
      <c r="F358" s="179"/>
      <c r="G358" s="156"/>
      <c r="H358" s="157"/>
    </row>
    <row r="359" s="153" customFormat="1" ht="18" customHeight="1" spans="1:8">
      <c r="A359" s="172" t="s">
        <v>891</v>
      </c>
      <c r="B359" s="99">
        <f>C359*0.8</f>
        <v>24</v>
      </c>
      <c r="C359" s="99">
        <v>30</v>
      </c>
      <c r="D359" s="99">
        <f t="shared" si="48"/>
        <v>-6</v>
      </c>
      <c r="E359" s="166">
        <f t="shared" si="49"/>
        <v>-20</v>
      </c>
      <c r="F359" s="179"/>
      <c r="G359" s="156"/>
      <c r="H359" s="157"/>
    </row>
    <row r="360" s="153" customFormat="1" ht="30.95" customHeight="1" spans="1:8">
      <c r="A360" s="172" t="s">
        <v>892</v>
      </c>
      <c r="B360" s="99">
        <f>C360*0.8</f>
        <v>72.8</v>
      </c>
      <c r="C360" s="99">
        <v>91</v>
      </c>
      <c r="D360" s="99">
        <f t="shared" si="48"/>
        <v>-18.2</v>
      </c>
      <c r="E360" s="166">
        <f t="shared" si="49"/>
        <v>-20</v>
      </c>
      <c r="F360" s="179" t="s">
        <v>893</v>
      </c>
      <c r="G360" s="156"/>
      <c r="H360" s="157"/>
    </row>
    <row r="361" s="153" customFormat="1" ht="18" customHeight="1" spans="1:8">
      <c r="A361" s="198" t="s">
        <v>894</v>
      </c>
      <c r="B361" s="99">
        <f>C361*0.8</f>
        <v>16</v>
      </c>
      <c r="C361" s="99">
        <v>20</v>
      </c>
      <c r="D361" s="99">
        <f t="shared" si="48"/>
        <v>-4</v>
      </c>
      <c r="E361" s="166">
        <f t="shared" si="49"/>
        <v>-20</v>
      </c>
      <c r="F361" s="179"/>
      <c r="G361" s="156"/>
      <c r="H361" s="157"/>
    </row>
    <row r="362" s="153" customFormat="1" ht="18" customHeight="1" spans="1:8">
      <c r="A362" s="172" t="s">
        <v>895</v>
      </c>
      <c r="B362" s="99">
        <v>50</v>
      </c>
      <c r="C362" s="99">
        <v>55</v>
      </c>
      <c r="D362" s="99">
        <f t="shared" si="48"/>
        <v>-5</v>
      </c>
      <c r="E362" s="166">
        <f t="shared" si="49"/>
        <v>-9.09090909090909</v>
      </c>
      <c r="F362" s="179" t="s">
        <v>896</v>
      </c>
      <c r="G362" s="156"/>
      <c r="H362" s="157"/>
    </row>
    <row r="363" s="153" customFormat="1" ht="18" customHeight="1" spans="1:8">
      <c r="A363" s="172" t="s">
        <v>897</v>
      </c>
      <c r="B363" s="99">
        <v>38.8</v>
      </c>
      <c r="C363" s="99">
        <v>38.8</v>
      </c>
      <c r="D363" s="99">
        <f t="shared" si="48"/>
        <v>0</v>
      </c>
      <c r="E363" s="166">
        <f t="shared" ref="E363:E385" si="50">D363/C363*100</f>
        <v>0</v>
      </c>
      <c r="F363" s="179" t="s">
        <v>898</v>
      </c>
      <c r="G363" s="156"/>
      <c r="H363" s="157"/>
    </row>
    <row r="364" s="153" customFormat="1" ht="18" customHeight="1" spans="1:8">
      <c r="A364" s="172" t="s">
        <v>899</v>
      </c>
      <c r="B364" s="99">
        <v>13</v>
      </c>
      <c r="C364" s="99">
        <v>13</v>
      </c>
      <c r="D364" s="99">
        <f t="shared" si="48"/>
        <v>0</v>
      </c>
      <c r="E364" s="166">
        <f t="shared" si="50"/>
        <v>0</v>
      </c>
      <c r="F364" s="179" t="s">
        <v>900</v>
      </c>
      <c r="G364" s="156"/>
      <c r="H364" s="157"/>
    </row>
    <row r="365" s="153" customFormat="1" ht="18" customHeight="1" spans="1:8">
      <c r="A365" s="172" t="s">
        <v>901</v>
      </c>
      <c r="B365" s="99">
        <f>C365*0.8</f>
        <v>12</v>
      </c>
      <c r="C365" s="99">
        <v>15</v>
      </c>
      <c r="D365" s="99">
        <f t="shared" si="48"/>
        <v>-3</v>
      </c>
      <c r="E365" s="166">
        <f t="shared" si="50"/>
        <v>-20</v>
      </c>
      <c r="F365" s="179" t="s">
        <v>902</v>
      </c>
      <c r="G365" s="156"/>
      <c r="H365" s="157">
        <v>3</v>
      </c>
    </row>
    <row r="366" s="153" customFormat="1" ht="18" customHeight="1" spans="1:8">
      <c r="A366" s="172" t="s">
        <v>903</v>
      </c>
      <c r="B366" s="99">
        <v>300</v>
      </c>
      <c r="C366" s="99">
        <v>300</v>
      </c>
      <c r="D366" s="99">
        <f t="shared" si="48"/>
        <v>0</v>
      </c>
      <c r="E366" s="166">
        <f t="shared" si="50"/>
        <v>0</v>
      </c>
      <c r="F366" s="179" t="s">
        <v>904</v>
      </c>
      <c r="G366" s="156"/>
      <c r="H366" s="157"/>
    </row>
    <row r="367" s="153" customFormat="1" ht="18" customHeight="1" spans="1:8">
      <c r="A367" s="199" t="s">
        <v>273</v>
      </c>
      <c r="B367" s="200">
        <f>B368+SUM(B372:B388)</f>
        <v>32173</v>
      </c>
      <c r="C367" s="200">
        <f>C368+SUM(C372:C388)</f>
        <v>29355.57</v>
      </c>
      <c r="D367" s="99">
        <f t="shared" si="48"/>
        <v>2817.43</v>
      </c>
      <c r="E367" s="166">
        <f t="shared" si="50"/>
        <v>9.59759936529933</v>
      </c>
      <c r="F367" s="201"/>
      <c r="G367" s="156"/>
      <c r="H367" s="157"/>
    </row>
    <row r="368" s="153" customFormat="1" ht="18" customHeight="1" spans="1:8">
      <c r="A368" s="183" t="s">
        <v>905</v>
      </c>
      <c r="B368" s="184">
        <f>SUM(B369:B371)</f>
        <v>340.6</v>
      </c>
      <c r="C368" s="184">
        <f>SUM(C369:C371)</f>
        <v>382</v>
      </c>
      <c r="D368" s="99">
        <f t="shared" si="48"/>
        <v>-41.4</v>
      </c>
      <c r="E368" s="166">
        <f t="shared" si="50"/>
        <v>-10.8376963350785</v>
      </c>
      <c r="F368" s="185"/>
      <c r="G368" s="156"/>
      <c r="H368" s="157"/>
    </row>
    <row r="369" s="153" customFormat="1" ht="18" customHeight="1" spans="1:8">
      <c r="A369" s="183" t="s">
        <v>906</v>
      </c>
      <c r="B369" s="184">
        <f>C369*0.8</f>
        <v>8</v>
      </c>
      <c r="C369" s="184">
        <v>10</v>
      </c>
      <c r="D369" s="99">
        <f t="shared" si="48"/>
        <v>-2</v>
      </c>
      <c r="E369" s="166">
        <f t="shared" si="50"/>
        <v>-20</v>
      </c>
      <c r="F369" s="185"/>
      <c r="G369" s="156"/>
      <c r="H369" s="157">
        <v>2</v>
      </c>
    </row>
    <row r="370" s="153" customFormat="1" ht="18" customHeight="1" spans="1:8">
      <c r="A370" s="183" t="s">
        <v>907</v>
      </c>
      <c r="B370" s="184">
        <f>C370*0.8</f>
        <v>17.6</v>
      </c>
      <c r="C370" s="184">
        <v>22</v>
      </c>
      <c r="D370" s="99">
        <f t="shared" si="48"/>
        <v>-4.4</v>
      </c>
      <c r="E370" s="166">
        <f t="shared" si="50"/>
        <v>-20</v>
      </c>
      <c r="F370" s="185" t="s">
        <v>908</v>
      </c>
      <c r="G370" s="156"/>
      <c r="H370" s="157">
        <v>4.4</v>
      </c>
    </row>
    <row r="371" s="153" customFormat="1" ht="54" customHeight="1" spans="1:8">
      <c r="A371" s="183" t="s">
        <v>909</v>
      </c>
      <c r="B371" s="184">
        <v>315</v>
      </c>
      <c r="C371" s="184">
        <v>350</v>
      </c>
      <c r="D371" s="99">
        <f t="shared" si="48"/>
        <v>-35</v>
      </c>
      <c r="E371" s="166">
        <f t="shared" si="50"/>
        <v>-10</v>
      </c>
      <c r="F371" s="185" t="s">
        <v>910</v>
      </c>
      <c r="G371" s="192"/>
      <c r="H371" s="157">
        <v>35</v>
      </c>
    </row>
    <row r="372" s="153" customFormat="1" ht="21" customHeight="1" spans="1:8">
      <c r="A372" s="183" t="s">
        <v>911</v>
      </c>
      <c r="B372" s="184">
        <f>C372*0.8</f>
        <v>56</v>
      </c>
      <c r="C372" s="184">
        <v>70</v>
      </c>
      <c r="D372" s="99">
        <f t="shared" si="48"/>
        <v>-14</v>
      </c>
      <c r="E372" s="166">
        <f t="shared" si="50"/>
        <v>-20</v>
      </c>
      <c r="F372" s="186"/>
      <c r="G372" s="156"/>
      <c r="H372" s="157">
        <v>14</v>
      </c>
    </row>
    <row r="373" s="153" customFormat="1" ht="30" customHeight="1" spans="1:8">
      <c r="A373" s="183" t="s">
        <v>912</v>
      </c>
      <c r="B373" s="184">
        <v>1656</v>
      </c>
      <c r="C373" s="184">
        <v>2160</v>
      </c>
      <c r="D373" s="99">
        <f t="shared" si="48"/>
        <v>-504</v>
      </c>
      <c r="E373" s="166">
        <f t="shared" si="50"/>
        <v>-23.3333333333333</v>
      </c>
      <c r="F373" s="186" t="s">
        <v>913</v>
      </c>
      <c r="G373" s="156"/>
      <c r="H373" s="157">
        <v>24</v>
      </c>
    </row>
    <row r="374" s="153" customFormat="1" ht="18" customHeight="1" spans="1:8">
      <c r="A374" s="183" t="s">
        <v>914</v>
      </c>
      <c r="B374" s="184">
        <v>7</v>
      </c>
      <c r="C374" s="184">
        <v>10</v>
      </c>
      <c r="D374" s="99">
        <f t="shared" si="48"/>
        <v>-3</v>
      </c>
      <c r="E374" s="166">
        <f t="shared" si="50"/>
        <v>-30</v>
      </c>
      <c r="F374" s="186" t="s">
        <v>915</v>
      </c>
      <c r="G374" s="156"/>
      <c r="H374" s="157">
        <v>3</v>
      </c>
    </row>
    <row r="375" s="153" customFormat="1" ht="18" customHeight="1" spans="1:8">
      <c r="A375" s="183" t="s">
        <v>916</v>
      </c>
      <c r="B375" s="184">
        <v>2</v>
      </c>
      <c r="C375" s="184">
        <v>4</v>
      </c>
      <c r="D375" s="99">
        <f t="shared" si="48"/>
        <v>-2</v>
      </c>
      <c r="E375" s="166">
        <f t="shared" si="50"/>
        <v>-50</v>
      </c>
      <c r="F375" s="186"/>
      <c r="G375" s="156"/>
      <c r="H375" s="157">
        <v>2</v>
      </c>
    </row>
    <row r="376" s="153" customFormat="1" ht="51" customHeight="1" spans="1:8">
      <c r="A376" s="183" t="s">
        <v>917</v>
      </c>
      <c r="B376" s="184">
        <v>85</v>
      </c>
      <c r="C376" s="184">
        <v>105</v>
      </c>
      <c r="D376" s="99">
        <f t="shared" si="48"/>
        <v>-20</v>
      </c>
      <c r="E376" s="166">
        <f t="shared" si="50"/>
        <v>-19.047619047619</v>
      </c>
      <c r="F376" s="185" t="s">
        <v>918</v>
      </c>
      <c r="G376" s="156"/>
      <c r="H376" s="157">
        <v>20</v>
      </c>
    </row>
    <row r="377" s="153" customFormat="1" ht="18.95" customHeight="1" spans="1:8">
      <c r="A377" s="183" t="s">
        <v>919</v>
      </c>
      <c r="B377" s="184">
        <v>498</v>
      </c>
      <c r="C377" s="184">
        <v>497</v>
      </c>
      <c r="D377" s="99">
        <f t="shared" si="48"/>
        <v>1</v>
      </c>
      <c r="E377" s="166">
        <f t="shared" si="50"/>
        <v>0.201207243460765</v>
      </c>
      <c r="F377" s="186" t="s">
        <v>920</v>
      </c>
      <c r="G377" s="156"/>
      <c r="H377" s="157"/>
    </row>
    <row r="378" s="152" customFormat="1" ht="54.95" customHeight="1" spans="1:8">
      <c r="A378" s="183" t="s">
        <v>921</v>
      </c>
      <c r="B378" s="184">
        <v>719</v>
      </c>
      <c r="C378" s="184">
        <v>127</v>
      </c>
      <c r="D378" s="99">
        <f t="shared" si="48"/>
        <v>592</v>
      </c>
      <c r="E378" s="166">
        <f t="shared" si="50"/>
        <v>466.141732283465</v>
      </c>
      <c r="F378" s="185" t="s">
        <v>922</v>
      </c>
      <c r="G378" s="156"/>
      <c r="H378" s="168">
        <v>12</v>
      </c>
    </row>
    <row r="379" s="153" customFormat="1" ht="45" customHeight="1" spans="1:8">
      <c r="A379" s="183" t="s">
        <v>923</v>
      </c>
      <c r="B379" s="184">
        <v>2327</v>
      </c>
      <c r="C379" s="184">
        <v>1113.07</v>
      </c>
      <c r="D379" s="99">
        <f t="shared" si="48"/>
        <v>1213.93</v>
      </c>
      <c r="E379" s="166">
        <f t="shared" si="50"/>
        <v>109.061424708239</v>
      </c>
      <c r="F379" s="186" t="s">
        <v>924</v>
      </c>
      <c r="G379" s="156"/>
      <c r="H379" s="157"/>
    </row>
    <row r="380" s="153" customFormat="1" ht="32" customHeight="1" spans="1:8">
      <c r="A380" s="202" t="s">
        <v>925</v>
      </c>
      <c r="B380" s="184">
        <v>19480</v>
      </c>
      <c r="C380" s="184">
        <v>18143</v>
      </c>
      <c r="D380" s="99">
        <f t="shared" si="48"/>
        <v>1337</v>
      </c>
      <c r="E380" s="166">
        <f t="shared" si="50"/>
        <v>7.36923331312352</v>
      </c>
      <c r="F380" s="185" t="s">
        <v>926</v>
      </c>
      <c r="G380" s="156"/>
      <c r="H380" s="157"/>
    </row>
    <row r="381" s="153" customFormat="1" ht="18" customHeight="1" spans="1:8">
      <c r="A381" s="203" t="s">
        <v>927</v>
      </c>
      <c r="B381" s="184">
        <v>1600</v>
      </c>
      <c r="C381" s="184">
        <v>1380</v>
      </c>
      <c r="D381" s="99">
        <f t="shared" si="48"/>
        <v>220</v>
      </c>
      <c r="E381" s="166">
        <f t="shared" si="50"/>
        <v>15.9420289855072</v>
      </c>
      <c r="F381" s="186" t="s">
        <v>819</v>
      </c>
      <c r="G381" s="156"/>
      <c r="H381" s="157"/>
    </row>
    <row r="382" s="153" customFormat="1" ht="32.1" customHeight="1" spans="1:8">
      <c r="A382" s="183" t="s">
        <v>928</v>
      </c>
      <c r="B382" s="184">
        <v>88</v>
      </c>
      <c r="C382" s="184">
        <v>95</v>
      </c>
      <c r="D382" s="99">
        <f t="shared" si="48"/>
        <v>-7</v>
      </c>
      <c r="E382" s="166">
        <f t="shared" si="50"/>
        <v>-7.36842105263158</v>
      </c>
      <c r="F382" s="186" t="s">
        <v>929</v>
      </c>
      <c r="G382" s="156"/>
      <c r="H382" s="157">
        <v>12</v>
      </c>
    </row>
    <row r="383" s="153" customFormat="1" ht="33" customHeight="1" spans="1:8">
      <c r="A383" s="183" t="s">
        <v>930</v>
      </c>
      <c r="B383" s="184">
        <v>35.4</v>
      </c>
      <c r="C383" s="184">
        <v>34.5</v>
      </c>
      <c r="D383" s="99">
        <f t="shared" si="48"/>
        <v>0.899999999999999</v>
      </c>
      <c r="E383" s="166">
        <f t="shared" si="50"/>
        <v>2.60869565217391</v>
      </c>
      <c r="F383" s="186" t="s">
        <v>931</v>
      </c>
      <c r="G383" s="156"/>
      <c r="H383" s="157"/>
    </row>
    <row r="384" s="153" customFormat="1" ht="30" customHeight="1" spans="1:8">
      <c r="A384" s="183" t="s">
        <v>932</v>
      </c>
      <c r="B384" s="184">
        <v>3</v>
      </c>
      <c r="C384" s="184">
        <v>20</v>
      </c>
      <c r="D384" s="99">
        <f t="shared" si="48"/>
        <v>-17</v>
      </c>
      <c r="E384" s="166">
        <f t="shared" si="50"/>
        <v>-85</v>
      </c>
      <c r="F384" s="186" t="s">
        <v>933</v>
      </c>
      <c r="G384" s="156"/>
      <c r="H384" s="157"/>
    </row>
    <row r="385" s="153" customFormat="1" ht="21.95" customHeight="1" spans="1:8">
      <c r="A385" s="183" t="s">
        <v>934</v>
      </c>
      <c r="B385" s="184">
        <v>65</v>
      </c>
      <c r="C385" s="184">
        <v>65</v>
      </c>
      <c r="D385" s="99">
        <f t="shared" si="48"/>
        <v>0</v>
      </c>
      <c r="E385" s="166">
        <f t="shared" si="50"/>
        <v>0</v>
      </c>
      <c r="F385" s="186" t="s">
        <v>935</v>
      </c>
      <c r="G385" s="156"/>
      <c r="H385" s="157"/>
    </row>
    <row r="386" s="153" customFormat="1" ht="45" customHeight="1" spans="1:8">
      <c r="A386" s="183" t="s">
        <v>936</v>
      </c>
      <c r="B386" s="184">
        <v>375</v>
      </c>
      <c r="C386" s="184">
        <v>0</v>
      </c>
      <c r="D386" s="99">
        <f t="shared" si="48"/>
        <v>375</v>
      </c>
      <c r="E386" s="166">
        <v>100</v>
      </c>
      <c r="F386" s="186" t="s">
        <v>937</v>
      </c>
      <c r="G386" s="156"/>
      <c r="H386" s="157"/>
    </row>
    <row r="387" s="153" customFormat="1" ht="33" customHeight="1" spans="1:8">
      <c r="A387" s="204" t="s">
        <v>938</v>
      </c>
      <c r="B387" s="184">
        <v>60</v>
      </c>
      <c r="C387" s="184">
        <v>50</v>
      </c>
      <c r="D387" s="99">
        <f t="shared" si="48"/>
        <v>10</v>
      </c>
      <c r="E387" s="166">
        <f>D387/C387*100</f>
        <v>20</v>
      </c>
      <c r="F387" s="186" t="s">
        <v>939</v>
      </c>
      <c r="G387" s="156"/>
      <c r="H387" s="157"/>
    </row>
    <row r="388" s="153" customFormat="1" ht="18" customHeight="1" spans="1:8">
      <c r="A388" s="183" t="s">
        <v>940</v>
      </c>
      <c r="B388" s="184">
        <f>SUM(B389:B397)</f>
        <v>4776</v>
      </c>
      <c r="C388" s="184">
        <f>SUM(C389:C397)</f>
        <v>5100</v>
      </c>
      <c r="D388" s="99">
        <f t="shared" si="48"/>
        <v>-324</v>
      </c>
      <c r="E388" s="166">
        <f t="shared" ref="E388:E394" si="51">D388/C388*100</f>
        <v>-6.35294117647059</v>
      </c>
      <c r="F388" s="185"/>
      <c r="G388" s="156"/>
      <c r="H388" s="157"/>
    </row>
    <row r="389" s="153" customFormat="1" ht="24" customHeight="1" spans="1:8">
      <c r="A389" s="183" t="s">
        <v>941</v>
      </c>
      <c r="B389" s="184">
        <v>3200</v>
      </c>
      <c r="C389" s="184">
        <v>3200</v>
      </c>
      <c r="D389" s="99">
        <f t="shared" si="48"/>
        <v>0</v>
      </c>
      <c r="E389" s="166">
        <f t="shared" si="51"/>
        <v>0</v>
      </c>
      <c r="F389" s="185" t="s">
        <v>942</v>
      </c>
      <c r="G389" s="156"/>
      <c r="H389" s="157">
        <v>2</v>
      </c>
    </row>
    <row r="390" s="153" customFormat="1" ht="18" customHeight="1" spans="1:8">
      <c r="A390" s="205" t="s">
        <v>943</v>
      </c>
      <c r="B390" s="184">
        <v>900</v>
      </c>
      <c r="C390" s="184">
        <v>800</v>
      </c>
      <c r="D390" s="99">
        <f t="shared" si="48"/>
        <v>100</v>
      </c>
      <c r="E390" s="166">
        <f t="shared" si="51"/>
        <v>12.5</v>
      </c>
      <c r="F390" s="185" t="s">
        <v>944</v>
      </c>
      <c r="G390" s="156"/>
      <c r="H390" s="157"/>
    </row>
    <row r="391" s="153" customFormat="1" ht="18" customHeight="1" spans="1:8">
      <c r="A391" s="183" t="s">
        <v>945</v>
      </c>
      <c r="B391" s="184">
        <v>5</v>
      </c>
      <c r="C391" s="184">
        <v>5</v>
      </c>
      <c r="D391" s="99">
        <f t="shared" si="48"/>
        <v>0</v>
      </c>
      <c r="E391" s="166">
        <f t="shared" si="51"/>
        <v>0</v>
      </c>
      <c r="F391" s="185" t="s">
        <v>946</v>
      </c>
      <c r="G391" s="156"/>
      <c r="H391" s="157"/>
    </row>
    <row r="392" s="153" customFormat="1" ht="18" customHeight="1" spans="1:8">
      <c r="A392" s="183" t="s">
        <v>947</v>
      </c>
      <c r="B392" s="184"/>
      <c r="C392" s="184">
        <v>238</v>
      </c>
      <c r="D392" s="99">
        <f t="shared" si="48"/>
        <v>-238</v>
      </c>
      <c r="E392" s="166">
        <f t="shared" si="51"/>
        <v>-100</v>
      </c>
      <c r="F392" s="185" t="s">
        <v>948</v>
      </c>
      <c r="G392" s="156"/>
      <c r="H392" s="157"/>
    </row>
    <row r="393" s="153" customFormat="1" ht="18" customHeight="1" spans="1:8">
      <c r="A393" s="183" t="s">
        <v>949</v>
      </c>
      <c r="B393" s="184">
        <v>216</v>
      </c>
      <c r="C393" s="184">
        <v>215</v>
      </c>
      <c r="D393" s="99">
        <f t="shared" si="48"/>
        <v>1</v>
      </c>
      <c r="E393" s="166">
        <f t="shared" si="51"/>
        <v>0.465116279069767</v>
      </c>
      <c r="F393" s="185" t="s">
        <v>796</v>
      </c>
      <c r="G393" s="156"/>
      <c r="H393" s="157"/>
    </row>
    <row r="394" s="153" customFormat="1" ht="20.1" customHeight="1" spans="1:8">
      <c r="A394" s="183" t="s">
        <v>950</v>
      </c>
      <c r="B394" s="184">
        <v>5</v>
      </c>
      <c r="C394" s="184">
        <v>5</v>
      </c>
      <c r="D394" s="99">
        <f t="shared" si="48"/>
        <v>0</v>
      </c>
      <c r="E394" s="166">
        <f t="shared" si="51"/>
        <v>0</v>
      </c>
      <c r="F394" s="185" t="s">
        <v>951</v>
      </c>
      <c r="G394" s="156"/>
      <c r="H394" s="157"/>
    </row>
    <row r="395" s="153" customFormat="1" ht="20.1" customHeight="1" spans="1:8">
      <c r="A395" s="183" t="s">
        <v>952</v>
      </c>
      <c r="B395" s="184">
        <v>2</v>
      </c>
      <c r="C395" s="184">
        <v>2</v>
      </c>
      <c r="D395" s="99">
        <f t="shared" si="48"/>
        <v>0</v>
      </c>
      <c r="E395" s="166">
        <v>0</v>
      </c>
      <c r="F395" s="185"/>
      <c r="G395" s="156"/>
      <c r="H395" s="157"/>
    </row>
    <row r="396" s="153" customFormat="1" ht="30.95" customHeight="1" spans="1:8">
      <c r="A396" s="183" t="s">
        <v>953</v>
      </c>
      <c r="B396" s="184">
        <v>424</v>
      </c>
      <c r="C396" s="184">
        <v>615</v>
      </c>
      <c r="D396" s="99">
        <f t="shared" ref="D396:D397" si="52">B396-C396</f>
        <v>-191</v>
      </c>
      <c r="E396" s="166">
        <f t="shared" ref="E396:E402" si="53">D396/C396*100</f>
        <v>-31.0569105691057</v>
      </c>
      <c r="F396" s="185" t="s">
        <v>954</v>
      </c>
      <c r="G396" s="156"/>
      <c r="H396" s="157">
        <v>8</v>
      </c>
    </row>
    <row r="397" s="153" customFormat="1" ht="18" customHeight="1" spans="1:8">
      <c r="A397" s="183" t="s">
        <v>955</v>
      </c>
      <c r="B397" s="184">
        <v>24</v>
      </c>
      <c r="C397" s="184">
        <v>20</v>
      </c>
      <c r="D397" s="99">
        <f t="shared" si="52"/>
        <v>4</v>
      </c>
      <c r="E397" s="166">
        <f t="shared" si="53"/>
        <v>20</v>
      </c>
      <c r="F397" s="185" t="s">
        <v>956</v>
      </c>
      <c r="G397" s="156"/>
      <c r="H397" s="157"/>
    </row>
    <row r="398" s="153" customFormat="1" ht="30" customHeight="1" spans="1:8">
      <c r="A398" s="199" t="s">
        <v>285</v>
      </c>
      <c r="B398" s="200">
        <f>B399+B408+B416+B422+B434+B435+B436+B437+B438+B442+B439+B440+B441</f>
        <v>9166.88</v>
      </c>
      <c r="C398" s="200">
        <f>C399+C408+C416+C422+C434+C435+C436+C437+C438+C442+C439+C440+C441</f>
        <v>9226.69</v>
      </c>
      <c r="D398" s="200">
        <f>D399+D408+D416+D422+D434+D435+D436+D437+D438+D442+D439+D440+D441</f>
        <v>-59.8099999999997</v>
      </c>
      <c r="E398" s="166">
        <f t="shared" si="53"/>
        <v>-0.648228129480883</v>
      </c>
      <c r="F398" s="201"/>
      <c r="G398" s="156"/>
      <c r="H398" s="157"/>
    </row>
    <row r="399" s="153" customFormat="1" ht="18" customHeight="1" spans="1:8">
      <c r="A399" s="183" t="s">
        <v>957</v>
      </c>
      <c r="B399" s="184">
        <f>B400+B404++B405+B406+B407</f>
        <v>7655.9</v>
      </c>
      <c r="C399" s="184">
        <f>C400+C404++C405+C406+C407</f>
        <v>7588.3</v>
      </c>
      <c r="D399" s="99">
        <f t="shared" ref="D399:D462" si="54">B399-C399</f>
        <v>67.6000000000004</v>
      </c>
      <c r="E399" s="166">
        <f t="shared" si="53"/>
        <v>0.89084511682459</v>
      </c>
      <c r="F399" s="186"/>
      <c r="G399" s="156"/>
      <c r="H399" s="157"/>
    </row>
    <row r="400" s="153" customFormat="1" ht="18" customHeight="1" spans="1:8">
      <c r="A400" s="206" t="s">
        <v>958</v>
      </c>
      <c r="B400" s="184">
        <v>5456.6</v>
      </c>
      <c r="C400" s="184">
        <v>5319</v>
      </c>
      <c r="D400" s="99">
        <f t="shared" si="54"/>
        <v>137.6</v>
      </c>
      <c r="E400" s="166">
        <f t="shared" si="53"/>
        <v>2.58695243466818</v>
      </c>
      <c r="F400" s="185"/>
      <c r="G400" s="156"/>
      <c r="H400" s="157"/>
    </row>
    <row r="401" s="153" customFormat="1" ht="30" customHeight="1" spans="1:8">
      <c r="A401" s="206" t="s">
        <v>959</v>
      </c>
      <c r="B401" s="184">
        <v>3609.6</v>
      </c>
      <c r="C401" s="184">
        <v>3404</v>
      </c>
      <c r="D401" s="99">
        <f t="shared" si="54"/>
        <v>205.6</v>
      </c>
      <c r="E401" s="166">
        <f t="shared" si="53"/>
        <v>6.03995299647473</v>
      </c>
      <c r="F401" s="185" t="s">
        <v>960</v>
      </c>
      <c r="G401" s="156"/>
      <c r="H401" s="157"/>
    </row>
    <row r="402" s="153" customFormat="1" ht="18.95" customHeight="1" spans="1:8">
      <c r="A402" s="207" t="s">
        <v>961</v>
      </c>
      <c r="B402" s="184">
        <f>C402*0.8</f>
        <v>72</v>
      </c>
      <c r="C402" s="184">
        <v>90</v>
      </c>
      <c r="D402" s="99">
        <f t="shared" si="54"/>
        <v>-18</v>
      </c>
      <c r="E402" s="166">
        <f t="shared" si="53"/>
        <v>-20</v>
      </c>
      <c r="F402" s="185" t="s">
        <v>962</v>
      </c>
      <c r="G402" s="156"/>
      <c r="H402" s="157">
        <v>18</v>
      </c>
    </row>
    <row r="403" s="153" customFormat="1" ht="56.1" customHeight="1" spans="1:8">
      <c r="A403" s="207" t="s">
        <v>963</v>
      </c>
      <c r="B403" s="184">
        <v>1757</v>
      </c>
      <c r="C403" s="184">
        <v>1825</v>
      </c>
      <c r="D403" s="99">
        <f t="shared" si="54"/>
        <v>-68</v>
      </c>
      <c r="E403" s="208">
        <f>(B403-C403)/C403</f>
        <v>-0.0372602739726027</v>
      </c>
      <c r="F403" s="185" t="s">
        <v>964</v>
      </c>
      <c r="G403" s="156"/>
      <c r="H403" s="157"/>
    </row>
    <row r="404" s="153" customFormat="1" ht="45" customHeight="1" spans="1:8">
      <c r="A404" s="206" t="s">
        <v>965</v>
      </c>
      <c r="B404" s="184">
        <v>670.3</v>
      </c>
      <c r="C404" s="184">
        <v>740.3</v>
      </c>
      <c r="D404" s="99">
        <f t="shared" si="54"/>
        <v>-70</v>
      </c>
      <c r="E404" s="166">
        <f t="shared" ref="E404:E419" si="55">D404/C404*100</f>
        <v>-9.45562609752803</v>
      </c>
      <c r="F404" s="185" t="s">
        <v>966</v>
      </c>
      <c r="G404" s="156"/>
      <c r="H404" s="157">
        <v>20</v>
      </c>
    </row>
    <row r="405" s="153" customFormat="1" ht="23.1" customHeight="1" spans="1:8">
      <c r="A405" s="206" t="s">
        <v>967</v>
      </c>
      <c r="B405" s="184">
        <v>1000</v>
      </c>
      <c r="C405" s="184">
        <v>1000</v>
      </c>
      <c r="D405" s="99">
        <f t="shared" si="54"/>
        <v>0</v>
      </c>
      <c r="E405" s="166">
        <f t="shared" si="55"/>
        <v>0</v>
      </c>
      <c r="F405" s="185" t="s">
        <v>968</v>
      </c>
      <c r="G405" s="192"/>
      <c r="H405" s="157"/>
    </row>
    <row r="406" s="153" customFormat="1" ht="18" customHeight="1" spans="1:8">
      <c r="A406" s="206" t="s">
        <v>969</v>
      </c>
      <c r="B406" s="184">
        <v>245</v>
      </c>
      <c r="C406" s="184">
        <v>245</v>
      </c>
      <c r="D406" s="99">
        <f t="shared" si="54"/>
        <v>0</v>
      </c>
      <c r="E406" s="166">
        <f t="shared" si="55"/>
        <v>0</v>
      </c>
      <c r="F406" s="186" t="s">
        <v>970</v>
      </c>
      <c r="G406" s="156"/>
      <c r="H406" s="157"/>
    </row>
    <row r="407" s="153" customFormat="1" ht="18" customHeight="1" spans="1:8">
      <c r="A407" s="206" t="s">
        <v>971</v>
      </c>
      <c r="B407" s="184">
        <v>284</v>
      </c>
      <c r="C407" s="184">
        <v>284</v>
      </c>
      <c r="D407" s="99">
        <f t="shared" si="54"/>
        <v>0</v>
      </c>
      <c r="E407" s="166">
        <f t="shared" si="55"/>
        <v>0</v>
      </c>
      <c r="F407" s="186" t="s">
        <v>972</v>
      </c>
      <c r="G407" s="156"/>
      <c r="H407" s="157"/>
    </row>
    <row r="408" s="153" customFormat="1" ht="18" customHeight="1" spans="1:8">
      <c r="A408" s="183" t="s">
        <v>973</v>
      </c>
      <c r="B408" s="184">
        <f>SUM(B409:B415)</f>
        <v>167</v>
      </c>
      <c r="C408" s="184">
        <f>SUM(C409:C415)</f>
        <v>167</v>
      </c>
      <c r="D408" s="99">
        <f t="shared" si="54"/>
        <v>0</v>
      </c>
      <c r="E408" s="166">
        <f t="shared" si="55"/>
        <v>0</v>
      </c>
      <c r="F408" s="185"/>
      <c r="G408" s="156"/>
      <c r="H408" s="157"/>
    </row>
    <row r="409" s="152" customFormat="1" ht="18" customHeight="1" spans="1:8">
      <c r="A409" s="183" t="s">
        <v>974</v>
      </c>
      <c r="B409" s="184">
        <v>5</v>
      </c>
      <c r="C409" s="184">
        <v>5</v>
      </c>
      <c r="D409" s="99">
        <f t="shared" si="54"/>
        <v>0</v>
      </c>
      <c r="E409" s="166">
        <f t="shared" si="55"/>
        <v>0</v>
      </c>
      <c r="F409" s="185"/>
      <c r="G409" s="156"/>
      <c r="H409" s="168"/>
    </row>
    <row r="410" s="153" customFormat="1" ht="18" customHeight="1" spans="1:8">
      <c r="A410" s="183" t="s">
        <v>975</v>
      </c>
      <c r="B410" s="184">
        <v>33</v>
      </c>
      <c r="C410" s="184">
        <v>33</v>
      </c>
      <c r="D410" s="99">
        <f t="shared" si="54"/>
        <v>0</v>
      </c>
      <c r="E410" s="166">
        <f t="shared" si="55"/>
        <v>0</v>
      </c>
      <c r="F410" s="185" t="s">
        <v>976</v>
      </c>
      <c r="G410" s="156"/>
      <c r="H410" s="157"/>
    </row>
    <row r="411" s="153" customFormat="1" ht="18" customHeight="1" spans="1:8">
      <c r="A411" s="183" t="s">
        <v>977</v>
      </c>
      <c r="B411" s="184">
        <v>40</v>
      </c>
      <c r="C411" s="184">
        <v>40</v>
      </c>
      <c r="D411" s="99">
        <f t="shared" si="54"/>
        <v>0</v>
      </c>
      <c r="E411" s="166">
        <f t="shared" si="55"/>
        <v>0</v>
      </c>
      <c r="F411" s="185"/>
      <c r="G411" s="156"/>
      <c r="H411" s="157"/>
    </row>
    <row r="412" s="153" customFormat="1" ht="18" customHeight="1" spans="1:8">
      <c r="A412" s="183" t="s">
        <v>978</v>
      </c>
      <c r="B412" s="184">
        <v>5</v>
      </c>
      <c r="C412" s="184">
        <v>5</v>
      </c>
      <c r="D412" s="99">
        <f t="shared" si="54"/>
        <v>0</v>
      </c>
      <c r="E412" s="166">
        <f t="shared" si="55"/>
        <v>0</v>
      </c>
      <c r="F412" s="185"/>
      <c r="G412" s="156"/>
      <c r="H412" s="157"/>
    </row>
    <row r="413" s="153" customFormat="1" ht="18" customHeight="1" spans="1:8">
      <c r="A413" s="183" t="s">
        <v>979</v>
      </c>
      <c r="B413" s="184">
        <v>30</v>
      </c>
      <c r="C413" s="184">
        <v>30</v>
      </c>
      <c r="D413" s="99">
        <f t="shared" si="54"/>
        <v>0</v>
      </c>
      <c r="E413" s="166">
        <f t="shared" si="55"/>
        <v>0</v>
      </c>
      <c r="F413" s="186" t="s">
        <v>980</v>
      </c>
      <c r="G413" s="156"/>
      <c r="H413" s="157"/>
    </row>
    <row r="414" s="153" customFormat="1" ht="18" customHeight="1" spans="1:8">
      <c r="A414" s="183" t="s">
        <v>981</v>
      </c>
      <c r="B414" s="184">
        <v>4</v>
      </c>
      <c r="C414" s="184">
        <v>4</v>
      </c>
      <c r="D414" s="99">
        <f t="shared" si="54"/>
        <v>0</v>
      </c>
      <c r="E414" s="166">
        <f t="shared" si="55"/>
        <v>0</v>
      </c>
      <c r="F414" s="185"/>
      <c r="G414" s="156"/>
      <c r="H414" s="157"/>
    </row>
    <row r="415" s="153" customFormat="1" ht="18" customHeight="1" spans="1:8">
      <c r="A415" s="183" t="s">
        <v>982</v>
      </c>
      <c r="B415" s="184">
        <v>50</v>
      </c>
      <c r="C415" s="184">
        <v>50</v>
      </c>
      <c r="D415" s="99">
        <f t="shared" si="54"/>
        <v>0</v>
      </c>
      <c r="E415" s="166">
        <f t="shared" si="55"/>
        <v>0</v>
      </c>
      <c r="F415" s="185" t="s">
        <v>983</v>
      </c>
      <c r="G415" s="209"/>
      <c r="H415" s="157"/>
    </row>
    <row r="416" s="153" customFormat="1" ht="18" customHeight="1" spans="1:8">
      <c r="A416" s="183" t="s">
        <v>984</v>
      </c>
      <c r="B416" s="184">
        <f>SUM(B417:B421)</f>
        <v>154</v>
      </c>
      <c r="C416" s="184">
        <v>151.84</v>
      </c>
      <c r="D416" s="99">
        <f t="shared" si="54"/>
        <v>2.16</v>
      </c>
      <c r="E416" s="166">
        <f t="shared" si="55"/>
        <v>1.42255005268704</v>
      </c>
      <c r="F416" s="186"/>
      <c r="G416" s="209"/>
      <c r="H416" s="157"/>
    </row>
    <row r="417" s="153" customFormat="1" ht="18" customHeight="1" spans="1:8">
      <c r="A417" s="183" t="s">
        <v>985</v>
      </c>
      <c r="B417" s="184">
        <v>10</v>
      </c>
      <c r="C417" s="184">
        <v>10</v>
      </c>
      <c r="D417" s="99">
        <f t="shared" si="54"/>
        <v>0</v>
      </c>
      <c r="E417" s="166">
        <f t="shared" si="55"/>
        <v>0</v>
      </c>
      <c r="F417" s="186"/>
      <c r="G417" s="209"/>
      <c r="H417" s="157"/>
    </row>
    <row r="418" s="153" customFormat="1" ht="18" customHeight="1" spans="1:8">
      <c r="A418" s="183" t="s">
        <v>986</v>
      </c>
      <c r="B418" s="184">
        <v>50</v>
      </c>
      <c r="C418" s="184">
        <v>50</v>
      </c>
      <c r="D418" s="99">
        <f t="shared" si="54"/>
        <v>0</v>
      </c>
      <c r="E418" s="166">
        <f t="shared" si="55"/>
        <v>0</v>
      </c>
      <c r="F418" s="186"/>
      <c r="G418" s="209"/>
      <c r="H418" s="157"/>
    </row>
    <row r="419" s="153" customFormat="1" ht="18" customHeight="1" spans="1:8">
      <c r="A419" s="183" t="s">
        <v>987</v>
      </c>
      <c r="B419" s="184">
        <v>58.8</v>
      </c>
      <c r="C419" s="184">
        <v>58.8</v>
      </c>
      <c r="D419" s="99">
        <f t="shared" si="54"/>
        <v>0</v>
      </c>
      <c r="E419" s="166">
        <f t="shared" si="55"/>
        <v>0</v>
      </c>
      <c r="F419" s="186" t="s">
        <v>988</v>
      </c>
      <c r="G419" s="209"/>
      <c r="H419" s="157"/>
    </row>
    <row r="420" s="153" customFormat="1" ht="18" customHeight="1" spans="1:8">
      <c r="A420" s="183" t="s">
        <v>989</v>
      </c>
      <c r="B420" s="184">
        <v>5.7</v>
      </c>
      <c r="C420" s="184">
        <v>0</v>
      </c>
      <c r="D420" s="99">
        <f t="shared" si="54"/>
        <v>5.7</v>
      </c>
      <c r="E420" s="166">
        <v>100</v>
      </c>
      <c r="F420" s="186" t="s">
        <v>990</v>
      </c>
      <c r="G420" s="210"/>
      <c r="H420" s="157"/>
    </row>
    <row r="421" s="153" customFormat="1" ht="33.95" customHeight="1" spans="1:8">
      <c r="A421" s="183" t="s">
        <v>991</v>
      </c>
      <c r="B421" s="184">
        <v>29.5</v>
      </c>
      <c r="C421" s="184">
        <v>33.04</v>
      </c>
      <c r="D421" s="99">
        <f t="shared" si="54"/>
        <v>-3.54</v>
      </c>
      <c r="E421" s="166">
        <f t="shared" ref="E421:E440" si="56">D421/C421*100</f>
        <v>-10.7142857142857</v>
      </c>
      <c r="F421" s="186" t="s">
        <v>992</v>
      </c>
      <c r="G421" s="156"/>
      <c r="H421" s="157"/>
    </row>
    <row r="422" s="153" customFormat="1" ht="18" customHeight="1" spans="1:8">
      <c r="A422" s="183" t="s">
        <v>993</v>
      </c>
      <c r="B422" s="184">
        <f>SUM(B423:B433)</f>
        <v>507.57</v>
      </c>
      <c r="C422" s="184">
        <f>SUM(C423:C433)</f>
        <v>509.75</v>
      </c>
      <c r="D422" s="99">
        <f t="shared" si="54"/>
        <v>-2.18000000000001</v>
      </c>
      <c r="E422" s="166">
        <f t="shared" si="56"/>
        <v>-0.427660617949977</v>
      </c>
      <c r="F422" s="211"/>
      <c r="G422" s="156"/>
      <c r="H422" s="157"/>
    </row>
    <row r="423" s="153" customFormat="1" ht="18" customHeight="1" spans="1:8">
      <c r="A423" s="183" t="s">
        <v>994</v>
      </c>
      <c r="B423" s="184">
        <v>30</v>
      </c>
      <c r="C423" s="184">
        <v>50</v>
      </c>
      <c r="D423" s="99">
        <f t="shared" si="54"/>
        <v>-20</v>
      </c>
      <c r="E423" s="166">
        <f t="shared" si="56"/>
        <v>-40</v>
      </c>
      <c r="F423" s="211"/>
      <c r="G423" s="156"/>
      <c r="H423" s="157">
        <v>20</v>
      </c>
    </row>
    <row r="424" s="153" customFormat="1" ht="18" customHeight="1" spans="1:8">
      <c r="A424" s="183" t="s">
        <v>995</v>
      </c>
      <c r="B424" s="184">
        <v>5</v>
      </c>
      <c r="C424" s="184">
        <v>5</v>
      </c>
      <c r="D424" s="99">
        <f t="shared" si="54"/>
        <v>0</v>
      </c>
      <c r="E424" s="166">
        <f t="shared" si="56"/>
        <v>0</v>
      </c>
      <c r="F424" s="211"/>
      <c r="G424" s="156"/>
      <c r="H424" s="157"/>
    </row>
    <row r="425" s="153" customFormat="1" ht="18" customHeight="1" spans="1:8">
      <c r="A425" s="183" t="s">
        <v>996</v>
      </c>
      <c r="B425" s="184"/>
      <c r="C425" s="184">
        <v>12</v>
      </c>
      <c r="D425" s="99">
        <f t="shared" si="54"/>
        <v>-12</v>
      </c>
      <c r="E425" s="166">
        <f t="shared" si="56"/>
        <v>-100</v>
      </c>
      <c r="F425" s="211" t="s">
        <v>997</v>
      </c>
      <c r="G425" s="156"/>
      <c r="H425" s="157">
        <v>12</v>
      </c>
    </row>
    <row r="426" s="153" customFormat="1" ht="18" customHeight="1" spans="1:8">
      <c r="A426" s="183" t="s">
        <v>998</v>
      </c>
      <c r="B426" s="184">
        <v>0</v>
      </c>
      <c r="C426" s="184">
        <v>14</v>
      </c>
      <c r="D426" s="99">
        <f t="shared" si="54"/>
        <v>-14</v>
      </c>
      <c r="E426" s="166">
        <f t="shared" si="56"/>
        <v>-100</v>
      </c>
      <c r="F426" s="211" t="s">
        <v>997</v>
      </c>
      <c r="G426" s="156"/>
      <c r="H426" s="157">
        <v>14</v>
      </c>
    </row>
    <row r="427" s="153" customFormat="1" ht="26.1" customHeight="1" spans="1:8">
      <c r="A427" s="183" t="s">
        <v>999</v>
      </c>
      <c r="B427" s="184">
        <v>97.57</v>
      </c>
      <c r="C427" s="184">
        <v>81.22</v>
      </c>
      <c r="D427" s="99">
        <f t="shared" si="54"/>
        <v>16.35</v>
      </c>
      <c r="E427" s="166">
        <f t="shared" si="56"/>
        <v>20.1305097266683</v>
      </c>
      <c r="F427" s="212" t="s">
        <v>1000</v>
      </c>
      <c r="G427" s="156"/>
      <c r="H427" s="157"/>
    </row>
    <row r="428" s="153" customFormat="1" ht="26.1" customHeight="1" spans="1:8">
      <c r="A428" s="183" t="s">
        <v>1001</v>
      </c>
      <c r="B428" s="184">
        <v>88.81</v>
      </c>
      <c r="C428" s="184">
        <v>71.41</v>
      </c>
      <c r="D428" s="99">
        <f t="shared" si="54"/>
        <v>17.4</v>
      </c>
      <c r="E428" s="166">
        <f t="shared" si="56"/>
        <v>24.3663352471643</v>
      </c>
      <c r="F428" s="211" t="s">
        <v>1002</v>
      </c>
      <c r="G428" s="156"/>
      <c r="H428" s="157"/>
    </row>
    <row r="429" s="153" customFormat="1" ht="18" customHeight="1" spans="1:8">
      <c r="A429" s="183" t="s">
        <v>1003</v>
      </c>
      <c r="B429" s="184"/>
      <c r="C429" s="184">
        <v>2</v>
      </c>
      <c r="D429" s="99">
        <f t="shared" si="54"/>
        <v>-2</v>
      </c>
      <c r="E429" s="166">
        <f t="shared" si="56"/>
        <v>-100</v>
      </c>
      <c r="F429" s="211" t="s">
        <v>997</v>
      </c>
      <c r="G429" s="156"/>
      <c r="H429" s="157">
        <v>2</v>
      </c>
    </row>
    <row r="430" s="153" customFormat="1" ht="18" customHeight="1" spans="1:8">
      <c r="A430" s="183" t="s">
        <v>1004</v>
      </c>
      <c r="B430" s="184">
        <v>6.15</v>
      </c>
      <c r="C430" s="184">
        <v>9.6</v>
      </c>
      <c r="D430" s="99">
        <f t="shared" si="54"/>
        <v>-3.45</v>
      </c>
      <c r="E430" s="166">
        <f t="shared" si="56"/>
        <v>-35.9375</v>
      </c>
      <c r="F430" s="211" t="s">
        <v>1005</v>
      </c>
      <c r="G430" s="156"/>
      <c r="H430" s="157"/>
    </row>
    <row r="431" s="153" customFormat="1" ht="27" customHeight="1" spans="1:8">
      <c r="A431" s="183" t="s">
        <v>1006</v>
      </c>
      <c r="B431" s="184">
        <v>273.6</v>
      </c>
      <c r="C431" s="184">
        <v>260</v>
      </c>
      <c r="D431" s="99">
        <f t="shared" si="54"/>
        <v>13.6</v>
      </c>
      <c r="E431" s="166">
        <f t="shared" si="56"/>
        <v>5.23076923076924</v>
      </c>
      <c r="F431" s="213" t="s">
        <v>1007</v>
      </c>
      <c r="G431" s="156"/>
      <c r="H431" s="157"/>
    </row>
    <row r="432" s="153" customFormat="1" ht="18" customHeight="1" spans="1:8">
      <c r="A432" s="183" t="s">
        <v>1008</v>
      </c>
      <c r="B432" s="184">
        <v>4.44</v>
      </c>
      <c r="C432" s="184">
        <v>2.52</v>
      </c>
      <c r="D432" s="99">
        <f t="shared" si="54"/>
        <v>1.92</v>
      </c>
      <c r="E432" s="166">
        <f t="shared" si="56"/>
        <v>76.1904761904762</v>
      </c>
      <c r="F432" s="211" t="s">
        <v>1009</v>
      </c>
      <c r="G432" s="156"/>
      <c r="H432" s="157"/>
    </row>
    <row r="433" s="153" customFormat="1" ht="21.95" customHeight="1" spans="1:8">
      <c r="A433" s="183" t="s">
        <v>1010</v>
      </c>
      <c r="B433" s="184">
        <v>2</v>
      </c>
      <c r="C433" s="184">
        <v>2</v>
      </c>
      <c r="D433" s="99">
        <f t="shared" si="54"/>
        <v>0</v>
      </c>
      <c r="E433" s="166">
        <f t="shared" si="56"/>
        <v>0</v>
      </c>
      <c r="F433" s="211"/>
      <c r="G433" s="156"/>
      <c r="H433" s="157"/>
    </row>
    <row r="434" s="153" customFormat="1" ht="21" customHeight="1" spans="1:8">
      <c r="A434" s="183" t="s">
        <v>1011</v>
      </c>
      <c r="B434" s="184">
        <v>230</v>
      </c>
      <c r="C434" s="184">
        <v>210</v>
      </c>
      <c r="D434" s="99">
        <f t="shared" si="54"/>
        <v>20</v>
      </c>
      <c r="E434" s="166">
        <f t="shared" si="56"/>
        <v>9.52380952380952</v>
      </c>
      <c r="F434" s="185" t="s">
        <v>1012</v>
      </c>
      <c r="G434" s="156"/>
      <c r="H434" s="157"/>
    </row>
    <row r="435" s="153" customFormat="1" ht="26.1" customHeight="1" spans="1:8">
      <c r="A435" s="183" t="s">
        <v>1013</v>
      </c>
      <c r="B435" s="184"/>
      <c r="C435" s="184">
        <v>150</v>
      </c>
      <c r="D435" s="99">
        <f t="shared" si="54"/>
        <v>-150</v>
      </c>
      <c r="E435" s="166">
        <f t="shared" si="56"/>
        <v>-100</v>
      </c>
      <c r="F435" s="185" t="s">
        <v>1014</v>
      </c>
      <c r="G435" s="156"/>
      <c r="H435" s="157"/>
    </row>
    <row r="436" s="153" customFormat="1" ht="21" customHeight="1" spans="1:8">
      <c r="A436" s="183" t="s">
        <v>1015</v>
      </c>
      <c r="B436" s="184"/>
      <c r="C436" s="184">
        <v>10</v>
      </c>
      <c r="D436" s="99">
        <f t="shared" si="54"/>
        <v>-10</v>
      </c>
      <c r="E436" s="166">
        <f t="shared" si="56"/>
        <v>-100</v>
      </c>
      <c r="F436" s="186" t="s">
        <v>1016</v>
      </c>
      <c r="G436" s="192"/>
      <c r="H436" s="157"/>
    </row>
    <row r="437" s="153" customFormat="1" ht="21" customHeight="1" spans="1:8">
      <c r="A437" s="183" t="s">
        <v>1017</v>
      </c>
      <c r="B437" s="184">
        <v>14</v>
      </c>
      <c r="C437" s="184">
        <v>14</v>
      </c>
      <c r="D437" s="99">
        <f t="shared" si="54"/>
        <v>0</v>
      </c>
      <c r="E437" s="166">
        <f t="shared" si="56"/>
        <v>0</v>
      </c>
      <c r="F437" s="185" t="s">
        <v>1018</v>
      </c>
      <c r="G437" s="192"/>
      <c r="H437" s="157"/>
    </row>
    <row r="438" s="153" customFormat="1" ht="21" customHeight="1" spans="1:8">
      <c r="A438" s="183" t="s">
        <v>1019</v>
      </c>
      <c r="B438" s="184">
        <v>94</v>
      </c>
      <c r="C438" s="184">
        <v>110</v>
      </c>
      <c r="D438" s="99">
        <f t="shared" si="54"/>
        <v>-16</v>
      </c>
      <c r="E438" s="166">
        <f t="shared" si="56"/>
        <v>-14.5454545454545</v>
      </c>
      <c r="F438" s="211" t="s">
        <v>1020</v>
      </c>
      <c r="G438" s="192"/>
      <c r="H438" s="157"/>
    </row>
    <row r="439" s="153" customFormat="1" ht="21" customHeight="1" spans="1:8">
      <c r="A439" s="183" t="s">
        <v>1021</v>
      </c>
      <c r="B439" s="184">
        <v>60</v>
      </c>
      <c r="C439" s="184">
        <v>63</v>
      </c>
      <c r="D439" s="99">
        <f t="shared" si="54"/>
        <v>-3</v>
      </c>
      <c r="E439" s="166">
        <f t="shared" si="56"/>
        <v>-4.76190476190476</v>
      </c>
      <c r="F439" s="211" t="s">
        <v>1022</v>
      </c>
      <c r="G439" s="192"/>
      <c r="H439" s="157"/>
    </row>
    <row r="440" s="153" customFormat="1" ht="30.95" customHeight="1" spans="1:8">
      <c r="A440" s="183" t="s">
        <v>1023</v>
      </c>
      <c r="B440" s="184">
        <v>269.71</v>
      </c>
      <c r="C440" s="184">
        <v>247.2</v>
      </c>
      <c r="D440" s="99">
        <f t="shared" si="54"/>
        <v>22.51</v>
      </c>
      <c r="E440" s="166">
        <f t="shared" si="56"/>
        <v>9.10598705501618</v>
      </c>
      <c r="F440" s="211" t="s">
        <v>1024</v>
      </c>
      <c r="G440" s="192"/>
      <c r="H440" s="157"/>
    </row>
    <row r="441" s="153" customFormat="1" ht="20.1" customHeight="1" spans="1:8">
      <c r="A441" s="183" t="s">
        <v>1025</v>
      </c>
      <c r="B441" s="184">
        <v>12</v>
      </c>
      <c r="C441" s="184">
        <v>0</v>
      </c>
      <c r="D441" s="99">
        <f t="shared" si="54"/>
        <v>12</v>
      </c>
      <c r="E441" s="166">
        <v>100</v>
      </c>
      <c r="F441" s="211" t="s">
        <v>1026</v>
      </c>
      <c r="G441" s="192"/>
      <c r="H441" s="157"/>
    </row>
    <row r="442" s="153" customFormat="1" ht="21" customHeight="1" spans="1:8">
      <c r="A442" s="183" t="s">
        <v>1027</v>
      </c>
      <c r="B442" s="184">
        <v>2.7</v>
      </c>
      <c r="C442" s="184">
        <v>5.6</v>
      </c>
      <c r="D442" s="99">
        <f t="shared" si="54"/>
        <v>-2.9</v>
      </c>
      <c r="E442" s="166">
        <f t="shared" ref="E442:E462" si="57">D442/C442*100</f>
        <v>-51.7857142857143</v>
      </c>
      <c r="F442" s="211" t="s">
        <v>1028</v>
      </c>
      <c r="G442" s="192"/>
      <c r="H442" s="157"/>
    </row>
    <row r="443" s="153" customFormat="1" ht="18" customHeight="1" spans="1:8">
      <c r="A443" s="214" t="s">
        <v>294</v>
      </c>
      <c r="B443" s="170">
        <f>SUM(B444:B450)</f>
        <v>5244</v>
      </c>
      <c r="C443" s="170">
        <f>SUM(C444:C450)</f>
        <v>3910</v>
      </c>
      <c r="D443" s="99">
        <f t="shared" si="54"/>
        <v>1334</v>
      </c>
      <c r="E443" s="166">
        <f t="shared" si="57"/>
        <v>34.1176470588235</v>
      </c>
      <c r="F443" s="179"/>
      <c r="G443" s="156"/>
      <c r="H443" s="157"/>
    </row>
    <row r="444" s="153" customFormat="1" ht="18" customHeight="1" spans="1:8">
      <c r="A444" s="214" t="s">
        <v>1029</v>
      </c>
      <c r="B444" s="99">
        <f>C444*0.8</f>
        <v>80</v>
      </c>
      <c r="C444" s="99">
        <v>100</v>
      </c>
      <c r="D444" s="99">
        <f t="shared" si="54"/>
        <v>-20</v>
      </c>
      <c r="E444" s="166">
        <f t="shared" si="57"/>
        <v>-20</v>
      </c>
      <c r="F444" s="179"/>
      <c r="G444" s="156"/>
      <c r="H444" s="157">
        <v>20</v>
      </c>
    </row>
    <row r="445" s="153" customFormat="1" ht="18" customHeight="1" spans="1:8">
      <c r="A445" s="214" t="s">
        <v>1030</v>
      </c>
      <c r="B445" s="99">
        <f>C445*0.8</f>
        <v>24</v>
      </c>
      <c r="C445" s="99">
        <v>30</v>
      </c>
      <c r="D445" s="99">
        <f t="shared" si="54"/>
        <v>-6</v>
      </c>
      <c r="E445" s="166">
        <f t="shared" si="57"/>
        <v>-20</v>
      </c>
      <c r="F445" s="179"/>
      <c r="G445" s="156"/>
      <c r="H445" s="157">
        <v>6</v>
      </c>
    </row>
    <row r="446" s="153" customFormat="1" ht="27.95" customHeight="1" spans="1:8">
      <c r="A446" s="172" t="s">
        <v>1031</v>
      </c>
      <c r="B446" s="99">
        <v>1610</v>
      </c>
      <c r="C446" s="99">
        <v>1000</v>
      </c>
      <c r="D446" s="99">
        <f t="shared" si="54"/>
        <v>610</v>
      </c>
      <c r="E446" s="166">
        <f t="shared" si="57"/>
        <v>61</v>
      </c>
      <c r="F446" s="173" t="s">
        <v>1032</v>
      </c>
      <c r="G446" s="156"/>
      <c r="H446" s="157"/>
    </row>
    <row r="447" s="153" customFormat="1" ht="18" customHeight="1" spans="1:8">
      <c r="A447" s="172" t="s">
        <v>1033</v>
      </c>
      <c r="B447" s="99">
        <v>400</v>
      </c>
      <c r="C447" s="99">
        <v>400</v>
      </c>
      <c r="D447" s="99">
        <f t="shared" si="54"/>
        <v>0</v>
      </c>
      <c r="E447" s="166">
        <f t="shared" si="57"/>
        <v>0</v>
      </c>
      <c r="F447" s="173" t="s">
        <v>1034</v>
      </c>
      <c r="G447" s="156"/>
      <c r="H447" s="157"/>
    </row>
    <row r="448" s="153" customFormat="1" ht="18" customHeight="1" spans="1:8">
      <c r="A448" s="172" t="s">
        <v>1035</v>
      </c>
      <c r="B448" s="99">
        <v>1050</v>
      </c>
      <c r="C448" s="99">
        <v>800</v>
      </c>
      <c r="D448" s="99">
        <f t="shared" si="54"/>
        <v>250</v>
      </c>
      <c r="E448" s="166">
        <f t="shared" si="57"/>
        <v>31.25</v>
      </c>
      <c r="F448" s="215" t="s">
        <v>1036</v>
      </c>
      <c r="G448" s="156"/>
      <c r="H448" s="157"/>
    </row>
    <row r="449" s="153" customFormat="1" ht="39" customHeight="1" spans="1:8">
      <c r="A449" s="216" t="s">
        <v>1037</v>
      </c>
      <c r="B449" s="99">
        <v>1000</v>
      </c>
      <c r="C449" s="99">
        <v>500</v>
      </c>
      <c r="D449" s="99">
        <f t="shared" si="54"/>
        <v>500</v>
      </c>
      <c r="E449" s="166">
        <f t="shared" si="57"/>
        <v>100</v>
      </c>
      <c r="F449" s="180" t="s">
        <v>1038</v>
      </c>
      <c r="G449" s="156"/>
      <c r="H449" s="157"/>
    </row>
    <row r="450" s="153" customFormat="1" ht="21.95" customHeight="1" spans="1:8">
      <c r="A450" s="172" t="s">
        <v>1039</v>
      </c>
      <c r="B450" s="99">
        <v>1080</v>
      </c>
      <c r="C450" s="99">
        <v>1080</v>
      </c>
      <c r="D450" s="99">
        <f t="shared" si="54"/>
        <v>0</v>
      </c>
      <c r="E450" s="166">
        <f t="shared" si="57"/>
        <v>0</v>
      </c>
      <c r="F450" s="179" t="s">
        <v>1040</v>
      </c>
      <c r="G450" s="156"/>
      <c r="H450" s="157"/>
    </row>
    <row r="451" s="153" customFormat="1" ht="18" customHeight="1" spans="1:8">
      <c r="A451" s="169" t="s">
        <v>297</v>
      </c>
      <c r="B451" s="170">
        <f>SUM(B452:B454)</f>
        <v>4264.18</v>
      </c>
      <c r="C451" s="170">
        <f>SUM(C452:C454)</f>
        <v>4199.18</v>
      </c>
      <c r="D451" s="99">
        <f t="shared" si="54"/>
        <v>65</v>
      </c>
      <c r="E451" s="166">
        <f t="shared" si="57"/>
        <v>1.54792126081759</v>
      </c>
      <c r="F451" s="171"/>
      <c r="G451" s="156"/>
      <c r="H451" s="157"/>
    </row>
    <row r="452" s="153" customFormat="1" ht="18" customHeight="1" spans="1:8">
      <c r="A452" s="172" t="s">
        <v>1041</v>
      </c>
      <c r="B452" s="99">
        <v>500</v>
      </c>
      <c r="C452" s="99">
        <v>500</v>
      </c>
      <c r="D452" s="99">
        <f t="shared" si="54"/>
        <v>0</v>
      </c>
      <c r="E452" s="166">
        <f t="shared" si="57"/>
        <v>0</v>
      </c>
      <c r="F452" s="179" t="s">
        <v>1042</v>
      </c>
      <c r="G452" s="156"/>
      <c r="H452" s="157"/>
    </row>
    <row r="453" s="153" customFormat="1" ht="32.1" customHeight="1" spans="1:8">
      <c r="A453" s="172" t="s">
        <v>1043</v>
      </c>
      <c r="B453" s="99">
        <v>1697.18</v>
      </c>
      <c r="C453" s="99">
        <v>1681.18</v>
      </c>
      <c r="D453" s="99">
        <f t="shared" si="54"/>
        <v>16</v>
      </c>
      <c r="E453" s="166">
        <f t="shared" si="57"/>
        <v>0.951712487657479</v>
      </c>
      <c r="F453" s="179" t="s">
        <v>1044</v>
      </c>
      <c r="G453" s="156"/>
      <c r="H453" s="157"/>
    </row>
    <row r="454" s="153" customFormat="1" ht="18" customHeight="1" spans="1:8">
      <c r="A454" s="172" t="s">
        <v>1045</v>
      </c>
      <c r="B454" s="99">
        <f>SUM(B455:B465)</f>
        <v>2067</v>
      </c>
      <c r="C454" s="99">
        <f>SUM(C455:C465)</f>
        <v>2018</v>
      </c>
      <c r="D454" s="99">
        <f t="shared" si="54"/>
        <v>49</v>
      </c>
      <c r="E454" s="166">
        <f t="shared" si="57"/>
        <v>2.42814667988107</v>
      </c>
      <c r="F454" s="173"/>
      <c r="G454" s="156"/>
      <c r="H454" s="157"/>
    </row>
    <row r="455" s="152" customFormat="1" ht="18.95" customHeight="1" spans="1:8">
      <c r="A455" s="172" t="s">
        <v>1046</v>
      </c>
      <c r="B455" s="99">
        <f>C455*0.8</f>
        <v>16</v>
      </c>
      <c r="C455" s="99">
        <v>20</v>
      </c>
      <c r="D455" s="99">
        <f t="shared" si="54"/>
        <v>-4</v>
      </c>
      <c r="E455" s="166">
        <f t="shared" si="57"/>
        <v>-20</v>
      </c>
      <c r="F455" s="173"/>
      <c r="G455" s="156"/>
      <c r="H455" s="168">
        <v>4</v>
      </c>
    </row>
    <row r="456" s="153" customFormat="1" ht="18" customHeight="1" spans="1:8">
      <c r="A456" s="172" t="s">
        <v>1047</v>
      </c>
      <c r="B456" s="99">
        <v>430</v>
      </c>
      <c r="C456" s="99">
        <v>388</v>
      </c>
      <c r="D456" s="99">
        <f t="shared" si="54"/>
        <v>42</v>
      </c>
      <c r="E456" s="166">
        <f t="shared" si="57"/>
        <v>10.8247422680412</v>
      </c>
      <c r="F456" s="173" t="s">
        <v>1048</v>
      </c>
      <c r="G456" s="156"/>
      <c r="H456" s="157"/>
    </row>
    <row r="457" s="153" customFormat="1" ht="18" customHeight="1" spans="1:8">
      <c r="A457" s="176" t="s">
        <v>1049</v>
      </c>
      <c r="B457" s="99">
        <v>45</v>
      </c>
      <c r="C457" s="99">
        <v>45</v>
      </c>
      <c r="D457" s="99">
        <f t="shared" si="54"/>
        <v>0</v>
      </c>
      <c r="E457" s="166">
        <f t="shared" si="57"/>
        <v>0</v>
      </c>
      <c r="F457" s="173" t="s">
        <v>1050</v>
      </c>
      <c r="G457" s="156"/>
      <c r="H457" s="157"/>
    </row>
    <row r="458" s="153" customFormat="1" ht="18" customHeight="1" spans="1:8">
      <c r="A458" s="172" t="s">
        <v>1051</v>
      </c>
      <c r="B458" s="99">
        <v>0</v>
      </c>
      <c r="C458" s="99">
        <v>25</v>
      </c>
      <c r="D458" s="99">
        <f t="shared" si="54"/>
        <v>-25</v>
      </c>
      <c r="E458" s="166">
        <f t="shared" si="57"/>
        <v>-100</v>
      </c>
      <c r="F458" s="173" t="s">
        <v>1052</v>
      </c>
      <c r="G458" s="156"/>
      <c r="H458" s="157">
        <v>25</v>
      </c>
    </row>
    <row r="459" s="153" customFormat="1" ht="54" customHeight="1" spans="1:8">
      <c r="A459" s="172" t="s">
        <v>1053</v>
      </c>
      <c r="B459" s="99">
        <v>600</v>
      </c>
      <c r="C459" s="99">
        <v>520</v>
      </c>
      <c r="D459" s="99">
        <f t="shared" si="54"/>
        <v>80</v>
      </c>
      <c r="E459" s="166">
        <f t="shared" si="57"/>
        <v>15.3846153846154</v>
      </c>
      <c r="F459" s="173" t="s">
        <v>1054</v>
      </c>
      <c r="G459" s="156"/>
      <c r="H459" s="157"/>
    </row>
    <row r="460" s="153" customFormat="1" ht="18" customHeight="1" spans="1:8">
      <c r="A460" s="172" t="s">
        <v>1055</v>
      </c>
      <c r="B460" s="99">
        <v>10</v>
      </c>
      <c r="C460" s="99">
        <v>10</v>
      </c>
      <c r="D460" s="99">
        <f t="shared" si="54"/>
        <v>0</v>
      </c>
      <c r="E460" s="166">
        <f t="shared" si="57"/>
        <v>0</v>
      </c>
      <c r="F460" s="173"/>
      <c r="G460" s="156"/>
      <c r="H460" s="157"/>
    </row>
    <row r="461" s="153" customFormat="1" ht="17.1" customHeight="1" spans="1:8">
      <c r="A461" s="172" t="s">
        <v>1056</v>
      </c>
      <c r="B461" s="99">
        <v>150</v>
      </c>
      <c r="C461" s="99">
        <v>150</v>
      </c>
      <c r="D461" s="99">
        <f t="shared" si="54"/>
        <v>0</v>
      </c>
      <c r="E461" s="166">
        <f t="shared" si="57"/>
        <v>0</v>
      </c>
      <c r="F461" s="173" t="s">
        <v>1057</v>
      </c>
      <c r="G461" s="156"/>
      <c r="H461" s="157"/>
    </row>
    <row r="462" s="153" customFormat="1" ht="18" customHeight="1" spans="1:8">
      <c r="A462" s="172" t="s">
        <v>1058</v>
      </c>
      <c r="B462" s="99">
        <v>10</v>
      </c>
      <c r="C462" s="99">
        <v>10</v>
      </c>
      <c r="D462" s="99">
        <f t="shared" si="54"/>
        <v>0</v>
      </c>
      <c r="E462" s="166">
        <f t="shared" si="57"/>
        <v>0</v>
      </c>
      <c r="F462" s="173"/>
      <c r="G462" s="156"/>
      <c r="H462" s="157"/>
    </row>
    <row r="463" s="153" customFormat="1" ht="29.1" customHeight="1" spans="1:8">
      <c r="A463" s="172" t="s">
        <v>1059</v>
      </c>
      <c r="B463" s="99">
        <v>380</v>
      </c>
      <c r="C463" s="99">
        <v>400</v>
      </c>
      <c r="D463" s="99">
        <f t="shared" ref="D463:D486" si="58">B463-C463</f>
        <v>-20</v>
      </c>
      <c r="E463" s="166">
        <f t="shared" ref="E463:E485" si="59">D463/C463*100</f>
        <v>-5</v>
      </c>
      <c r="F463" s="173" t="s">
        <v>1060</v>
      </c>
      <c r="G463" s="156"/>
      <c r="H463" s="157">
        <v>20</v>
      </c>
    </row>
    <row r="464" s="153" customFormat="1" ht="18" customHeight="1" spans="1:8">
      <c r="A464" s="172" t="s">
        <v>1061</v>
      </c>
      <c r="B464" s="99">
        <v>150</v>
      </c>
      <c r="C464" s="99">
        <v>150</v>
      </c>
      <c r="D464" s="99">
        <f t="shared" si="58"/>
        <v>0</v>
      </c>
      <c r="E464" s="166">
        <f t="shared" si="59"/>
        <v>0</v>
      </c>
      <c r="F464" s="173" t="s">
        <v>1062</v>
      </c>
      <c r="G464" s="156"/>
      <c r="H464" s="157"/>
    </row>
    <row r="465" s="153" customFormat="1" ht="18" customHeight="1" spans="1:8">
      <c r="A465" s="172" t="s">
        <v>1063</v>
      </c>
      <c r="B465" s="99">
        <v>276</v>
      </c>
      <c r="C465" s="99">
        <v>300</v>
      </c>
      <c r="D465" s="99">
        <f t="shared" si="58"/>
        <v>-24</v>
      </c>
      <c r="E465" s="166">
        <f t="shared" si="59"/>
        <v>-8</v>
      </c>
      <c r="F465" s="173" t="s">
        <v>1064</v>
      </c>
      <c r="G465" s="156"/>
      <c r="H465" s="157">
        <v>24</v>
      </c>
    </row>
    <row r="466" s="153" customFormat="1" ht="18" customHeight="1" spans="1:8">
      <c r="A466" s="169" t="s">
        <v>307</v>
      </c>
      <c r="B466" s="217">
        <f>B467+B510+B529+B535+B543</f>
        <v>12876.83</v>
      </c>
      <c r="C466" s="217">
        <f>C467+C510+C529+C535+C543</f>
        <v>12917.7</v>
      </c>
      <c r="D466" s="99">
        <f t="shared" si="58"/>
        <v>-40.869999999999</v>
      </c>
      <c r="E466" s="166">
        <f t="shared" si="59"/>
        <v>-0.316387592218421</v>
      </c>
      <c r="F466" s="171"/>
      <c r="G466" s="156"/>
      <c r="H466" s="157"/>
    </row>
    <row r="467" s="153" customFormat="1" ht="18" customHeight="1" spans="1:8">
      <c r="A467" s="172" t="s">
        <v>308</v>
      </c>
      <c r="B467" s="100">
        <f>B468+B478+SUM(B484:B489)+B495+B496</f>
        <v>1726.36</v>
      </c>
      <c r="C467" s="100">
        <f>C468+C478+SUM(C484:C489)+C495+C496</f>
        <v>2171.5</v>
      </c>
      <c r="D467" s="99">
        <f t="shared" si="58"/>
        <v>-445.14</v>
      </c>
      <c r="E467" s="166">
        <f t="shared" si="59"/>
        <v>-20.4991941054571</v>
      </c>
      <c r="F467" s="179"/>
      <c r="G467" s="156"/>
      <c r="H467" s="157"/>
    </row>
    <row r="468" s="153" customFormat="1" ht="18" customHeight="1" spans="1:8">
      <c r="A468" s="218" t="s">
        <v>1065</v>
      </c>
      <c r="B468" s="99">
        <f>SUM(B469:B477)</f>
        <v>136</v>
      </c>
      <c r="C468" s="99">
        <f>SUM(C469:C477)</f>
        <v>187</v>
      </c>
      <c r="D468" s="99">
        <f t="shared" si="58"/>
        <v>-51</v>
      </c>
      <c r="E468" s="166">
        <f t="shared" si="59"/>
        <v>-27.2727272727273</v>
      </c>
      <c r="F468" s="173"/>
      <c r="G468" s="156"/>
      <c r="H468" s="157">
        <v>51</v>
      </c>
    </row>
    <row r="469" s="153" customFormat="1" ht="18" customHeight="1" spans="1:8">
      <c r="A469" s="218" t="s">
        <v>1066</v>
      </c>
      <c r="B469" s="99">
        <v>0</v>
      </c>
      <c r="C469" s="99">
        <v>5</v>
      </c>
      <c r="D469" s="99">
        <f t="shared" si="58"/>
        <v>-5</v>
      </c>
      <c r="E469" s="166">
        <f t="shared" si="59"/>
        <v>-100</v>
      </c>
      <c r="F469" s="173" t="s">
        <v>1067</v>
      </c>
      <c r="G469" s="156"/>
      <c r="H469" s="157"/>
    </row>
    <row r="470" s="153" customFormat="1" ht="18" customHeight="1" spans="1:8">
      <c r="A470" s="218" t="s">
        <v>1068</v>
      </c>
      <c r="B470" s="99">
        <v>0</v>
      </c>
      <c r="C470" s="99">
        <v>10</v>
      </c>
      <c r="D470" s="99">
        <f t="shared" si="58"/>
        <v>-10</v>
      </c>
      <c r="E470" s="166">
        <f t="shared" si="59"/>
        <v>-100</v>
      </c>
      <c r="F470" s="173" t="s">
        <v>1067</v>
      </c>
      <c r="G470" s="156"/>
      <c r="H470" s="157"/>
    </row>
    <row r="471" s="153" customFormat="1" ht="18" customHeight="1" spans="1:8">
      <c r="A471" s="218" t="s">
        <v>1069</v>
      </c>
      <c r="B471" s="99">
        <f t="shared" ref="B471:B477" si="60">C471*0.8</f>
        <v>24</v>
      </c>
      <c r="C471" s="99">
        <v>30</v>
      </c>
      <c r="D471" s="99">
        <f t="shared" si="58"/>
        <v>-6</v>
      </c>
      <c r="E471" s="166">
        <f t="shared" si="59"/>
        <v>-20</v>
      </c>
      <c r="F471" s="173"/>
      <c r="G471" s="156"/>
      <c r="H471" s="157"/>
    </row>
    <row r="472" s="153" customFormat="1" ht="18" customHeight="1" spans="1:8">
      <c r="A472" s="218" t="s">
        <v>1070</v>
      </c>
      <c r="B472" s="99">
        <f t="shared" si="60"/>
        <v>24</v>
      </c>
      <c r="C472" s="99">
        <v>30</v>
      </c>
      <c r="D472" s="99">
        <f t="shared" si="58"/>
        <v>-6</v>
      </c>
      <c r="E472" s="166">
        <f t="shared" si="59"/>
        <v>-20</v>
      </c>
      <c r="F472" s="173"/>
      <c r="G472" s="156"/>
      <c r="H472" s="157"/>
    </row>
    <row r="473" s="153" customFormat="1" ht="18" customHeight="1" spans="1:8">
      <c r="A473" s="218" t="s">
        <v>1071</v>
      </c>
      <c r="B473" s="99">
        <f t="shared" si="60"/>
        <v>8</v>
      </c>
      <c r="C473" s="99">
        <v>10</v>
      </c>
      <c r="D473" s="99">
        <f t="shared" si="58"/>
        <v>-2</v>
      </c>
      <c r="E473" s="166">
        <f t="shared" si="59"/>
        <v>-20</v>
      </c>
      <c r="F473" s="173"/>
      <c r="G473" s="156"/>
      <c r="H473" s="157"/>
    </row>
    <row r="474" s="153" customFormat="1" ht="18" customHeight="1" spans="1:8">
      <c r="A474" s="218" t="s">
        <v>1072</v>
      </c>
      <c r="B474" s="99">
        <f t="shared" si="60"/>
        <v>24</v>
      </c>
      <c r="C474" s="99">
        <v>30</v>
      </c>
      <c r="D474" s="99">
        <f t="shared" si="58"/>
        <v>-6</v>
      </c>
      <c r="E474" s="166">
        <f t="shared" si="59"/>
        <v>-20</v>
      </c>
      <c r="F474" s="173"/>
      <c r="G474" s="156"/>
      <c r="H474" s="157"/>
    </row>
    <row r="475" s="153" customFormat="1" ht="18" customHeight="1" spans="1:8">
      <c r="A475" s="218" t="s">
        <v>1073</v>
      </c>
      <c r="B475" s="99">
        <v>24</v>
      </c>
      <c r="C475" s="99">
        <v>32</v>
      </c>
      <c r="D475" s="99">
        <f t="shared" si="58"/>
        <v>-8</v>
      </c>
      <c r="E475" s="166">
        <f t="shared" si="59"/>
        <v>-25</v>
      </c>
      <c r="F475" s="173" t="s">
        <v>545</v>
      </c>
      <c r="G475" s="156"/>
      <c r="H475" s="157"/>
    </row>
    <row r="476" s="153" customFormat="1" ht="18" customHeight="1" spans="1:8">
      <c r="A476" s="218" t="s">
        <v>1074</v>
      </c>
      <c r="B476" s="99">
        <f t="shared" si="60"/>
        <v>24</v>
      </c>
      <c r="C476" s="99">
        <v>30</v>
      </c>
      <c r="D476" s="99">
        <f t="shared" si="58"/>
        <v>-6</v>
      </c>
      <c r="E476" s="166">
        <f t="shared" si="59"/>
        <v>-20</v>
      </c>
      <c r="F476" s="173"/>
      <c r="G476" s="156"/>
      <c r="H476" s="157"/>
    </row>
    <row r="477" s="153" customFormat="1" ht="18" customHeight="1" spans="1:8">
      <c r="A477" s="218" t="s">
        <v>1075</v>
      </c>
      <c r="B477" s="99">
        <f t="shared" si="60"/>
        <v>8</v>
      </c>
      <c r="C477" s="99">
        <v>10</v>
      </c>
      <c r="D477" s="99">
        <f t="shared" si="58"/>
        <v>-2</v>
      </c>
      <c r="E477" s="166">
        <f t="shared" si="59"/>
        <v>-20</v>
      </c>
      <c r="F477" s="173"/>
      <c r="G477" s="156"/>
      <c r="H477" s="157"/>
    </row>
    <row r="478" s="153" customFormat="1" ht="18" customHeight="1" spans="1:8">
      <c r="A478" s="218" t="s">
        <v>1076</v>
      </c>
      <c r="B478" s="99">
        <f>SUM(B479:B483)</f>
        <v>16.2</v>
      </c>
      <c r="C478" s="99">
        <f>SUM(C479:C483)</f>
        <v>20</v>
      </c>
      <c r="D478" s="99">
        <f t="shared" si="58"/>
        <v>-3.8</v>
      </c>
      <c r="E478" s="166">
        <f t="shared" si="59"/>
        <v>-19</v>
      </c>
      <c r="F478" s="179"/>
      <c r="G478" s="156"/>
      <c r="H478" s="157">
        <v>3.8</v>
      </c>
    </row>
    <row r="479" s="153" customFormat="1" ht="18" customHeight="1" spans="1:8">
      <c r="A479" s="218" t="s">
        <v>1077</v>
      </c>
      <c r="B479" s="99">
        <f>C479*0.8</f>
        <v>4</v>
      </c>
      <c r="C479" s="99">
        <v>5</v>
      </c>
      <c r="D479" s="99">
        <f t="shared" si="58"/>
        <v>-1</v>
      </c>
      <c r="E479" s="166">
        <f t="shared" si="59"/>
        <v>-20</v>
      </c>
      <c r="F479" s="179"/>
      <c r="G479" s="156"/>
      <c r="H479" s="157"/>
    </row>
    <row r="480" s="153" customFormat="1" ht="18" customHeight="1" spans="1:8">
      <c r="A480" s="218" t="s">
        <v>1078</v>
      </c>
      <c r="B480" s="99">
        <f t="shared" ref="B480:B486" si="61">C480*0.8</f>
        <v>3.2</v>
      </c>
      <c r="C480" s="99">
        <v>4</v>
      </c>
      <c r="D480" s="99">
        <f t="shared" si="58"/>
        <v>-0.8</v>
      </c>
      <c r="E480" s="166">
        <f t="shared" si="59"/>
        <v>-20</v>
      </c>
      <c r="F480" s="179"/>
      <c r="G480" s="156"/>
      <c r="H480" s="157"/>
    </row>
    <row r="481" s="153" customFormat="1" ht="18" customHeight="1" spans="1:8">
      <c r="A481" s="218" t="s">
        <v>1079</v>
      </c>
      <c r="B481" s="99">
        <v>1</v>
      </c>
      <c r="C481" s="99">
        <v>1</v>
      </c>
      <c r="D481" s="99">
        <f t="shared" si="58"/>
        <v>0</v>
      </c>
      <c r="E481" s="166">
        <f t="shared" si="59"/>
        <v>0</v>
      </c>
      <c r="F481" s="179"/>
      <c r="G481" s="156"/>
      <c r="H481" s="157"/>
    </row>
    <row r="482" s="153" customFormat="1" ht="18" customHeight="1" spans="1:8">
      <c r="A482" s="219" t="s">
        <v>1080</v>
      </c>
      <c r="B482" s="99">
        <f t="shared" si="61"/>
        <v>4</v>
      </c>
      <c r="C482" s="99">
        <v>5</v>
      </c>
      <c r="D482" s="99">
        <f t="shared" si="58"/>
        <v>-1</v>
      </c>
      <c r="E482" s="166">
        <f t="shared" si="59"/>
        <v>-20</v>
      </c>
      <c r="F482" s="179"/>
      <c r="G482" s="156"/>
      <c r="H482" s="157"/>
    </row>
    <row r="483" s="153" customFormat="1" ht="18" customHeight="1" spans="1:8">
      <c r="A483" s="219" t="s">
        <v>1081</v>
      </c>
      <c r="B483" s="99">
        <f t="shared" si="61"/>
        <v>4</v>
      </c>
      <c r="C483" s="99">
        <v>5</v>
      </c>
      <c r="D483" s="99">
        <f t="shared" si="58"/>
        <v>-1</v>
      </c>
      <c r="E483" s="166">
        <f t="shared" si="59"/>
        <v>-20</v>
      </c>
      <c r="F483" s="179" t="s">
        <v>1082</v>
      </c>
      <c r="G483" s="156"/>
      <c r="H483" s="157"/>
    </row>
    <row r="484" s="153" customFormat="1" ht="18" customHeight="1" spans="1:8">
      <c r="A484" s="218" t="s">
        <v>1083</v>
      </c>
      <c r="B484" s="99">
        <f t="shared" si="61"/>
        <v>56</v>
      </c>
      <c r="C484" s="99">
        <v>70</v>
      </c>
      <c r="D484" s="99">
        <f t="shared" si="58"/>
        <v>-14</v>
      </c>
      <c r="E484" s="166">
        <f t="shared" si="59"/>
        <v>-20</v>
      </c>
      <c r="F484" s="179" t="s">
        <v>1084</v>
      </c>
      <c r="G484" s="156"/>
      <c r="H484" s="157">
        <v>14</v>
      </c>
    </row>
    <row r="485" s="153" customFormat="1" ht="18" customHeight="1" spans="1:8">
      <c r="A485" s="218" t="s">
        <v>1085</v>
      </c>
      <c r="B485" s="99">
        <f t="shared" si="61"/>
        <v>9.6</v>
      </c>
      <c r="C485" s="99">
        <v>12</v>
      </c>
      <c r="D485" s="99">
        <f t="shared" si="58"/>
        <v>-2.4</v>
      </c>
      <c r="E485" s="166">
        <f t="shared" si="59"/>
        <v>-20</v>
      </c>
      <c r="F485" s="179" t="s">
        <v>1086</v>
      </c>
      <c r="G485" s="156"/>
      <c r="H485" s="157">
        <v>2.4</v>
      </c>
    </row>
    <row r="486" s="153" customFormat="1" ht="18" customHeight="1" spans="1:8">
      <c r="A486" s="218" t="s">
        <v>1087</v>
      </c>
      <c r="B486" s="99">
        <v>0</v>
      </c>
      <c r="C486" s="99">
        <v>3</v>
      </c>
      <c r="D486" s="99">
        <f t="shared" si="58"/>
        <v>-3</v>
      </c>
      <c r="E486" s="166">
        <f t="shared" ref="E486:E525" si="62">D486/C486*100</f>
        <v>-100</v>
      </c>
      <c r="F486" s="173" t="s">
        <v>1067</v>
      </c>
      <c r="G486" s="156"/>
      <c r="H486" s="153">
        <v>3</v>
      </c>
    </row>
    <row r="487" s="153" customFormat="1" ht="18" customHeight="1" spans="1:8">
      <c r="A487" s="182" t="s">
        <v>1088</v>
      </c>
      <c r="B487" s="99"/>
      <c r="C487" s="99">
        <v>80</v>
      </c>
      <c r="D487" s="99">
        <f t="shared" ref="D487:D534" si="63">B487-C487</f>
        <v>-80</v>
      </c>
      <c r="E487" s="166">
        <f t="shared" si="62"/>
        <v>-100</v>
      </c>
      <c r="F487" s="179" t="s">
        <v>847</v>
      </c>
      <c r="G487" s="156"/>
      <c r="H487" s="157">
        <v>80</v>
      </c>
    </row>
    <row r="488" s="153" customFormat="1" ht="18" customHeight="1" spans="1:8">
      <c r="A488" s="182" t="s">
        <v>1089</v>
      </c>
      <c r="B488" s="99">
        <f>C488*0.8</f>
        <v>20</v>
      </c>
      <c r="C488" s="99">
        <v>25</v>
      </c>
      <c r="D488" s="99">
        <f t="shared" si="63"/>
        <v>-5</v>
      </c>
      <c r="E488" s="166">
        <f t="shared" si="62"/>
        <v>-20</v>
      </c>
      <c r="F488" s="173" t="s">
        <v>1090</v>
      </c>
      <c r="G488" s="156"/>
      <c r="H488" s="157">
        <v>5</v>
      </c>
    </row>
    <row r="489" s="153" customFormat="1" ht="18" customHeight="1" spans="1:8">
      <c r="A489" s="182" t="s">
        <v>1091</v>
      </c>
      <c r="B489" s="99">
        <f>SUM(B490:B494)</f>
        <v>370.16</v>
      </c>
      <c r="C489" s="99">
        <f>SUM(C490:C494)</f>
        <v>401.7</v>
      </c>
      <c r="D489" s="99">
        <f t="shared" si="63"/>
        <v>-31.54</v>
      </c>
      <c r="E489" s="166">
        <f t="shared" si="62"/>
        <v>-7.85163057007716</v>
      </c>
      <c r="F489" s="173"/>
      <c r="G489" s="156"/>
      <c r="H489" s="157">
        <v>31.54</v>
      </c>
    </row>
    <row r="490" s="153" customFormat="1" ht="18" customHeight="1" spans="1:8">
      <c r="A490" s="182" t="s">
        <v>1092</v>
      </c>
      <c r="B490" s="99">
        <v>267.56</v>
      </c>
      <c r="C490" s="99">
        <v>292.2</v>
      </c>
      <c r="D490" s="99">
        <f t="shared" si="63"/>
        <v>-24.64</v>
      </c>
      <c r="E490" s="166">
        <f t="shared" si="62"/>
        <v>-8.43258042436687</v>
      </c>
      <c r="F490" s="173" t="s">
        <v>1093</v>
      </c>
      <c r="G490" s="156"/>
      <c r="H490" s="157"/>
    </row>
    <row r="491" s="153" customFormat="1" ht="18" customHeight="1" spans="1:8">
      <c r="A491" s="182" t="s">
        <v>1094</v>
      </c>
      <c r="B491" s="99">
        <f>C491*0.8</f>
        <v>27.6</v>
      </c>
      <c r="C491" s="99">
        <v>34.5</v>
      </c>
      <c r="D491" s="99">
        <f t="shared" si="63"/>
        <v>-6.9</v>
      </c>
      <c r="E491" s="166">
        <f t="shared" si="62"/>
        <v>-20</v>
      </c>
      <c r="F491" s="173"/>
      <c r="G491" s="156"/>
      <c r="H491" s="157"/>
    </row>
    <row r="492" s="153" customFormat="1" ht="18" customHeight="1" spans="1:8">
      <c r="A492" s="182" t="s">
        <v>1095</v>
      </c>
      <c r="B492" s="99">
        <v>40</v>
      </c>
      <c r="C492" s="99">
        <v>40</v>
      </c>
      <c r="D492" s="99">
        <f t="shared" si="63"/>
        <v>0</v>
      </c>
      <c r="E492" s="166">
        <f t="shared" si="62"/>
        <v>0</v>
      </c>
      <c r="F492" s="173" t="s">
        <v>1096</v>
      </c>
      <c r="G492" s="156"/>
      <c r="H492" s="157"/>
    </row>
    <row r="493" s="153" customFormat="1" ht="18" customHeight="1" spans="1:8">
      <c r="A493" s="182" t="s">
        <v>1097</v>
      </c>
      <c r="B493" s="99">
        <v>10</v>
      </c>
      <c r="C493" s="99">
        <v>10</v>
      </c>
      <c r="D493" s="99">
        <f t="shared" si="63"/>
        <v>0</v>
      </c>
      <c r="E493" s="166">
        <f t="shared" si="62"/>
        <v>0</v>
      </c>
      <c r="F493" s="173" t="s">
        <v>1098</v>
      </c>
      <c r="G493" s="156"/>
      <c r="H493" s="157"/>
    </row>
    <row r="494" s="153" customFormat="1" ht="18" customHeight="1" spans="1:8">
      <c r="A494" s="182" t="s">
        <v>1099</v>
      </c>
      <c r="B494" s="99">
        <v>25</v>
      </c>
      <c r="C494" s="99">
        <v>25</v>
      </c>
      <c r="D494" s="99">
        <f t="shared" si="63"/>
        <v>0</v>
      </c>
      <c r="E494" s="166">
        <f t="shared" si="62"/>
        <v>0</v>
      </c>
      <c r="F494" s="173" t="s">
        <v>1100</v>
      </c>
      <c r="G494" s="156"/>
      <c r="H494" s="157"/>
    </row>
    <row r="495" s="153" customFormat="1" ht="18" customHeight="1" spans="1:8">
      <c r="A495" s="182" t="s">
        <v>1101</v>
      </c>
      <c r="B495" s="99">
        <v>150</v>
      </c>
      <c r="C495" s="99">
        <v>150</v>
      </c>
      <c r="D495" s="99">
        <f t="shared" si="63"/>
        <v>0</v>
      </c>
      <c r="E495" s="166">
        <f t="shared" si="62"/>
        <v>0</v>
      </c>
      <c r="F495" s="173"/>
      <c r="G495" s="156"/>
      <c r="H495" s="157"/>
    </row>
    <row r="496" s="153" customFormat="1" ht="18" customHeight="1" spans="1:8">
      <c r="A496" s="182" t="s">
        <v>1102</v>
      </c>
      <c r="B496" s="99">
        <f>SUM(B497:B509)</f>
        <v>968.4</v>
      </c>
      <c r="C496" s="99">
        <f>SUM(C497:C509)</f>
        <v>1222.8</v>
      </c>
      <c r="D496" s="99">
        <f t="shared" si="63"/>
        <v>-254.4</v>
      </c>
      <c r="E496" s="166">
        <f t="shared" si="62"/>
        <v>-20.8047105004907</v>
      </c>
      <c r="F496" s="173"/>
      <c r="G496" s="156"/>
      <c r="H496" s="157"/>
    </row>
    <row r="497" s="153" customFormat="1" ht="18" customHeight="1" spans="1:8">
      <c r="A497" s="182" t="s">
        <v>1103</v>
      </c>
      <c r="B497" s="99">
        <v>40</v>
      </c>
      <c r="C497" s="99">
        <v>40</v>
      </c>
      <c r="D497" s="99">
        <f t="shared" si="63"/>
        <v>0</v>
      </c>
      <c r="E497" s="166">
        <f t="shared" si="62"/>
        <v>0</v>
      </c>
      <c r="F497" s="173" t="s">
        <v>1104</v>
      </c>
      <c r="G497" s="156"/>
      <c r="H497" s="157"/>
    </row>
    <row r="498" s="153" customFormat="1" ht="18" customHeight="1" spans="1:8">
      <c r="A498" s="182" t="s">
        <v>1105</v>
      </c>
      <c r="B498" s="99">
        <v>40</v>
      </c>
      <c r="C498" s="99">
        <v>40</v>
      </c>
      <c r="D498" s="99">
        <f t="shared" si="63"/>
        <v>0</v>
      </c>
      <c r="E498" s="166">
        <f t="shared" si="62"/>
        <v>0</v>
      </c>
      <c r="F498" s="173" t="s">
        <v>1106</v>
      </c>
      <c r="G498" s="156"/>
      <c r="H498" s="157"/>
    </row>
    <row r="499" s="153" customFormat="1" ht="18" customHeight="1" spans="1:8">
      <c r="A499" s="182" t="s">
        <v>1107</v>
      </c>
      <c r="B499" s="99">
        <v>1.8</v>
      </c>
      <c r="C499" s="99">
        <v>1.8</v>
      </c>
      <c r="D499" s="99">
        <f t="shared" si="63"/>
        <v>0</v>
      </c>
      <c r="E499" s="166">
        <f t="shared" si="62"/>
        <v>0</v>
      </c>
      <c r="F499" s="173"/>
      <c r="G499" s="156"/>
      <c r="H499" s="157"/>
    </row>
    <row r="500" s="153" customFormat="1" ht="18" customHeight="1" spans="1:8">
      <c r="A500" s="182" t="s">
        <v>1108</v>
      </c>
      <c r="B500" s="99">
        <v>6</v>
      </c>
      <c r="C500" s="99">
        <v>6</v>
      </c>
      <c r="D500" s="99">
        <f t="shared" si="63"/>
        <v>0</v>
      </c>
      <c r="E500" s="166">
        <f t="shared" si="62"/>
        <v>0</v>
      </c>
      <c r="F500" s="173"/>
      <c r="G500" s="156"/>
      <c r="H500" s="157"/>
    </row>
    <row r="501" s="153" customFormat="1" ht="18" customHeight="1" spans="1:8">
      <c r="A501" s="182" t="s">
        <v>1109</v>
      </c>
      <c r="B501" s="99"/>
      <c r="C501" s="99">
        <v>200</v>
      </c>
      <c r="D501" s="99">
        <f t="shared" si="63"/>
        <v>-200</v>
      </c>
      <c r="E501" s="166">
        <f t="shared" si="62"/>
        <v>-100</v>
      </c>
      <c r="F501" s="173" t="s">
        <v>1110</v>
      </c>
      <c r="G501" s="156"/>
      <c r="H501" s="157">
        <v>200</v>
      </c>
    </row>
    <row r="502" s="153" customFormat="1" ht="18" customHeight="1" spans="1:8">
      <c r="A502" s="182" t="s">
        <v>1111</v>
      </c>
      <c r="B502" s="99">
        <f>C502*0.8</f>
        <v>40</v>
      </c>
      <c r="C502" s="99">
        <v>50</v>
      </c>
      <c r="D502" s="99">
        <f t="shared" si="63"/>
        <v>-10</v>
      </c>
      <c r="E502" s="166">
        <f t="shared" si="62"/>
        <v>-20</v>
      </c>
      <c r="F502" s="173" t="s">
        <v>697</v>
      </c>
      <c r="G502" s="156"/>
      <c r="H502" s="157">
        <v>10</v>
      </c>
    </row>
    <row r="503" s="153" customFormat="1" ht="18" customHeight="1" spans="1:8">
      <c r="A503" s="182" t="s">
        <v>1112</v>
      </c>
      <c r="B503" s="99">
        <v>613</v>
      </c>
      <c r="C503" s="99">
        <v>503</v>
      </c>
      <c r="D503" s="99">
        <f t="shared" si="63"/>
        <v>110</v>
      </c>
      <c r="E503" s="166">
        <f t="shared" si="62"/>
        <v>21.8687872763419</v>
      </c>
      <c r="F503" s="173" t="s">
        <v>1113</v>
      </c>
      <c r="G503" s="156"/>
      <c r="H503" s="157"/>
    </row>
    <row r="504" s="153" customFormat="1" ht="18" customHeight="1" spans="1:8">
      <c r="A504" s="182" t="s">
        <v>1114</v>
      </c>
      <c r="B504" s="99">
        <v>100</v>
      </c>
      <c r="C504" s="99">
        <v>230</v>
      </c>
      <c r="D504" s="99">
        <f t="shared" si="63"/>
        <v>-130</v>
      </c>
      <c r="E504" s="166">
        <f t="shared" si="62"/>
        <v>-56.5217391304348</v>
      </c>
      <c r="F504" s="173" t="s">
        <v>1115</v>
      </c>
      <c r="G504" s="156"/>
      <c r="H504" s="157">
        <v>6</v>
      </c>
    </row>
    <row r="505" s="153" customFormat="1" ht="18" customHeight="1" spans="1:8">
      <c r="A505" s="182" t="s">
        <v>1116</v>
      </c>
      <c r="B505" s="99">
        <f>C505*0.8</f>
        <v>8</v>
      </c>
      <c r="C505" s="99">
        <v>10</v>
      </c>
      <c r="D505" s="99">
        <f t="shared" si="63"/>
        <v>-2</v>
      </c>
      <c r="E505" s="166">
        <f t="shared" si="62"/>
        <v>-20</v>
      </c>
      <c r="F505" s="173"/>
      <c r="G505" s="156"/>
      <c r="H505" s="157">
        <v>2</v>
      </c>
    </row>
    <row r="506" s="153" customFormat="1" ht="18" customHeight="1" spans="1:8">
      <c r="A506" s="182" t="s">
        <v>1117</v>
      </c>
      <c r="B506" s="99">
        <f>C506*0.8</f>
        <v>24</v>
      </c>
      <c r="C506" s="99">
        <v>30</v>
      </c>
      <c r="D506" s="99">
        <f t="shared" si="63"/>
        <v>-6</v>
      </c>
      <c r="E506" s="166">
        <f t="shared" si="62"/>
        <v>-20</v>
      </c>
      <c r="F506" s="173" t="s">
        <v>1118</v>
      </c>
      <c r="G506" s="156"/>
      <c r="H506" s="157">
        <v>6</v>
      </c>
    </row>
    <row r="507" s="153" customFormat="1" ht="18" customHeight="1" spans="1:8">
      <c r="A507" s="182" t="s">
        <v>1119</v>
      </c>
      <c r="B507" s="99">
        <f>C507*0.8</f>
        <v>24</v>
      </c>
      <c r="C507" s="99">
        <v>30</v>
      </c>
      <c r="D507" s="99">
        <f t="shared" si="63"/>
        <v>-6</v>
      </c>
      <c r="E507" s="166">
        <f t="shared" si="62"/>
        <v>-20</v>
      </c>
      <c r="F507" s="173"/>
      <c r="G507" s="156"/>
      <c r="H507" s="157">
        <v>6</v>
      </c>
    </row>
    <row r="508" s="153" customFormat="1" ht="18" customHeight="1" spans="1:8">
      <c r="A508" s="182" t="s">
        <v>1120</v>
      </c>
      <c r="B508" s="99">
        <f>C508*0.8</f>
        <v>32</v>
      </c>
      <c r="C508" s="99">
        <v>40</v>
      </c>
      <c r="D508" s="99">
        <f t="shared" si="63"/>
        <v>-8</v>
      </c>
      <c r="E508" s="166">
        <f t="shared" si="62"/>
        <v>-20</v>
      </c>
      <c r="F508" s="173"/>
      <c r="G508" s="156"/>
      <c r="H508" s="157">
        <v>8</v>
      </c>
    </row>
    <row r="509" s="153" customFormat="1" ht="18" customHeight="1" spans="1:8">
      <c r="A509" s="182" t="s">
        <v>1121</v>
      </c>
      <c r="B509" s="99">
        <v>39.6</v>
      </c>
      <c r="C509" s="99">
        <v>42</v>
      </c>
      <c r="D509" s="99">
        <f t="shared" si="63"/>
        <v>-2.4</v>
      </c>
      <c r="E509" s="166">
        <f t="shared" si="62"/>
        <v>-5.71428571428571</v>
      </c>
      <c r="F509" s="179" t="s">
        <v>1122</v>
      </c>
      <c r="G509" s="156"/>
      <c r="H509" s="157">
        <v>8.4</v>
      </c>
    </row>
    <row r="510" s="153" customFormat="1" ht="78" customHeight="1" spans="1:8">
      <c r="A510" s="172" t="s">
        <v>1123</v>
      </c>
      <c r="B510" s="99">
        <f>SUM(B511:B528)</f>
        <v>7084.57</v>
      </c>
      <c r="C510" s="99">
        <f>SUM(C511:C528)</f>
        <v>6732.3</v>
      </c>
      <c r="D510" s="99">
        <f t="shared" si="63"/>
        <v>352.270000000001</v>
      </c>
      <c r="E510" s="166">
        <f t="shared" si="62"/>
        <v>5.23253568616968</v>
      </c>
      <c r="F510" s="220" t="s">
        <v>1124</v>
      </c>
      <c r="G510" s="156"/>
      <c r="H510" s="157"/>
    </row>
    <row r="511" s="153" customFormat="1" ht="51" customHeight="1" spans="1:8">
      <c r="A511" s="182" t="s">
        <v>1125</v>
      </c>
      <c r="B511" s="100">
        <v>870.49</v>
      </c>
      <c r="C511" s="100">
        <v>818.25</v>
      </c>
      <c r="D511" s="99">
        <f t="shared" si="63"/>
        <v>52.24</v>
      </c>
      <c r="E511" s="166">
        <f t="shared" si="62"/>
        <v>6.38435685915063</v>
      </c>
      <c r="F511" s="221" t="s">
        <v>1126</v>
      </c>
      <c r="G511" s="192" t="s">
        <v>1127</v>
      </c>
      <c r="H511" s="157"/>
    </row>
    <row r="512" s="153" customFormat="1" ht="51" customHeight="1" spans="1:8">
      <c r="A512" s="182" t="s">
        <v>1128</v>
      </c>
      <c r="B512" s="100">
        <v>510.94</v>
      </c>
      <c r="C512" s="100">
        <v>488.07</v>
      </c>
      <c r="D512" s="99">
        <f t="shared" si="63"/>
        <v>22.87</v>
      </c>
      <c r="E512" s="166">
        <f t="shared" si="62"/>
        <v>4.68580326592497</v>
      </c>
      <c r="F512" s="221" t="s">
        <v>1129</v>
      </c>
      <c r="G512" s="156"/>
      <c r="H512" s="157"/>
    </row>
    <row r="513" s="153" customFormat="1" ht="51" customHeight="1" spans="1:8">
      <c r="A513" s="182" t="s">
        <v>1130</v>
      </c>
      <c r="B513" s="100">
        <v>545.42</v>
      </c>
      <c r="C513" s="100">
        <v>517.71</v>
      </c>
      <c r="D513" s="99">
        <f t="shared" si="63"/>
        <v>27.7099999999999</v>
      </c>
      <c r="E513" s="166">
        <f t="shared" si="62"/>
        <v>5.35241737652352</v>
      </c>
      <c r="F513" s="221" t="s">
        <v>1131</v>
      </c>
      <c r="G513" s="156"/>
      <c r="H513" s="157"/>
    </row>
    <row r="514" s="153" customFormat="1" ht="62.1" customHeight="1" spans="1:8">
      <c r="A514" s="182" t="s">
        <v>1132</v>
      </c>
      <c r="B514" s="100">
        <v>187.72</v>
      </c>
      <c r="C514" s="100">
        <v>179.6</v>
      </c>
      <c r="D514" s="99">
        <f t="shared" si="63"/>
        <v>8.12</v>
      </c>
      <c r="E514" s="166">
        <f t="shared" si="62"/>
        <v>4.52115812917595</v>
      </c>
      <c r="F514" s="221" t="s">
        <v>1133</v>
      </c>
      <c r="G514" s="192" t="s">
        <v>1134</v>
      </c>
      <c r="H514" s="157"/>
    </row>
    <row r="515" s="153" customFormat="1" ht="51" customHeight="1" spans="1:8">
      <c r="A515" s="182" t="s">
        <v>1135</v>
      </c>
      <c r="B515" s="100">
        <v>428.61</v>
      </c>
      <c r="C515" s="100">
        <v>402.62</v>
      </c>
      <c r="D515" s="99">
        <f t="shared" si="63"/>
        <v>25.99</v>
      </c>
      <c r="E515" s="166">
        <f t="shared" si="62"/>
        <v>6.45521832000398</v>
      </c>
      <c r="F515" s="221" t="s">
        <v>1136</v>
      </c>
      <c r="G515" s="156" t="s">
        <v>1137</v>
      </c>
      <c r="H515" s="157"/>
    </row>
    <row r="516" s="153" customFormat="1" ht="51" customHeight="1" spans="1:8">
      <c r="A516" s="182" t="s">
        <v>1138</v>
      </c>
      <c r="B516" s="100">
        <v>424.76</v>
      </c>
      <c r="C516" s="100">
        <v>398.02</v>
      </c>
      <c r="D516" s="99">
        <f t="shared" si="63"/>
        <v>26.74</v>
      </c>
      <c r="E516" s="166">
        <f t="shared" si="62"/>
        <v>6.71825536405206</v>
      </c>
      <c r="F516" s="221" t="s">
        <v>1139</v>
      </c>
      <c r="G516" s="156"/>
      <c r="H516" s="157"/>
    </row>
    <row r="517" s="153" customFormat="1" ht="52" customHeight="1" spans="1:8">
      <c r="A517" s="182" t="s">
        <v>1140</v>
      </c>
      <c r="B517" s="100">
        <v>585.15</v>
      </c>
      <c r="C517" s="100">
        <v>546.76</v>
      </c>
      <c r="D517" s="99">
        <f t="shared" si="63"/>
        <v>38.39</v>
      </c>
      <c r="E517" s="166">
        <f t="shared" si="62"/>
        <v>7.02136220645255</v>
      </c>
      <c r="F517" s="221" t="s">
        <v>1141</v>
      </c>
      <c r="G517" s="156"/>
      <c r="H517" s="157"/>
    </row>
    <row r="518" s="153" customFormat="1" ht="47" customHeight="1" spans="1:8">
      <c r="A518" s="182" t="s">
        <v>1142</v>
      </c>
      <c r="B518" s="100">
        <v>213.83</v>
      </c>
      <c r="C518" s="100">
        <v>200.25</v>
      </c>
      <c r="D518" s="99">
        <f t="shared" si="63"/>
        <v>13.58</v>
      </c>
      <c r="E518" s="166">
        <f t="shared" si="62"/>
        <v>6.78152309612984</v>
      </c>
      <c r="F518" s="221" t="s">
        <v>1143</v>
      </c>
      <c r="G518" s="156"/>
      <c r="H518" s="157"/>
    </row>
    <row r="519" s="153" customFormat="1" ht="55" customHeight="1" spans="1:8">
      <c r="A519" s="182" t="s">
        <v>1144</v>
      </c>
      <c r="B519" s="100">
        <v>498.65</v>
      </c>
      <c r="C519" s="100">
        <v>470.74</v>
      </c>
      <c r="D519" s="99">
        <f t="shared" si="63"/>
        <v>27.91</v>
      </c>
      <c r="E519" s="166">
        <f t="shared" si="62"/>
        <v>5.92896290946169</v>
      </c>
      <c r="F519" s="221" t="s">
        <v>1145</v>
      </c>
      <c r="G519" s="156"/>
      <c r="H519" s="157"/>
    </row>
    <row r="520" s="153" customFormat="1" ht="48.95" customHeight="1" spans="1:8">
      <c r="A520" s="182" t="s">
        <v>1146</v>
      </c>
      <c r="B520" s="100">
        <v>451.89</v>
      </c>
      <c r="C520" s="100">
        <v>432.38</v>
      </c>
      <c r="D520" s="99">
        <f t="shared" si="63"/>
        <v>19.51</v>
      </c>
      <c r="E520" s="166">
        <f t="shared" si="62"/>
        <v>4.51223460844627</v>
      </c>
      <c r="F520" s="221" t="s">
        <v>1147</v>
      </c>
      <c r="G520" s="156"/>
      <c r="H520" s="157"/>
    </row>
    <row r="521" s="153" customFormat="1" ht="51" customHeight="1" spans="1:8">
      <c r="A521" s="182" t="s">
        <v>1148</v>
      </c>
      <c r="B521" s="100">
        <v>743.64</v>
      </c>
      <c r="C521" s="100">
        <v>723.53</v>
      </c>
      <c r="D521" s="99">
        <f t="shared" si="63"/>
        <v>20.11</v>
      </c>
      <c r="E521" s="166">
        <f t="shared" si="62"/>
        <v>2.77942863461087</v>
      </c>
      <c r="F521" s="221" t="s">
        <v>1149</v>
      </c>
      <c r="G521" s="156"/>
      <c r="H521" s="157"/>
    </row>
    <row r="522" s="153" customFormat="1" ht="48" customHeight="1" spans="1:8">
      <c r="A522" s="182" t="s">
        <v>1150</v>
      </c>
      <c r="B522" s="100">
        <v>342.47</v>
      </c>
      <c r="C522" s="100">
        <v>324.89</v>
      </c>
      <c r="D522" s="99">
        <f t="shared" si="63"/>
        <v>17.58</v>
      </c>
      <c r="E522" s="166">
        <f t="shared" si="62"/>
        <v>5.41106220566962</v>
      </c>
      <c r="F522" s="221" t="s">
        <v>1151</v>
      </c>
      <c r="G522" s="156"/>
      <c r="H522" s="157"/>
    </row>
    <row r="523" s="153" customFormat="1" ht="51" customHeight="1" spans="1:8">
      <c r="A523" s="182" t="s">
        <v>1152</v>
      </c>
      <c r="B523" s="100">
        <v>238.06</v>
      </c>
      <c r="C523" s="100">
        <v>225.32</v>
      </c>
      <c r="D523" s="99">
        <f t="shared" si="63"/>
        <v>12.74</v>
      </c>
      <c r="E523" s="166">
        <f t="shared" si="62"/>
        <v>5.65418072075271</v>
      </c>
      <c r="F523" s="221" t="s">
        <v>1153</v>
      </c>
      <c r="G523" s="156"/>
      <c r="H523" s="157"/>
    </row>
    <row r="524" s="153" customFormat="1" ht="50" customHeight="1" spans="1:8">
      <c r="A524" s="182" t="s">
        <v>1154</v>
      </c>
      <c r="B524" s="100">
        <v>358.83</v>
      </c>
      <c r="C524" s="100">
        <v>349.04</v>
      </c>
      <c r="D524" s="99">
        <f t="shared" si="63"/>
        <v>9.78999999999996</v>
      </c>
      <c r="E524" s="166">
        <f t="shared" si="62"/>
        <v>2.80483612193444</v>
      </c>
      <c r="F524" s="221" t="s">
        <v>1155</v>
      </c>
      <c r="G524" s="156"/>
      <c r="H524" s="157"/>
    </row>
    <row r="525" s="153" customFormat="1" ht="52" customHeight="1" spans="1:8">
      <c r="A525" s="182" t="s">
        <v>1156</v>
      </c>
      <c r="B525" s="100">
        <v>481.58</v>
      </c>
      <c r="C525" s="100">
        <v>458.72</v>
      </c>
      <c r="D525" s="99">
        <f t="shared" si="63"/>
        <v>22.86</v>
      </c>
      <c r="E525" s="166">
        <f t="shared" si="62"/>
        <v>4.98343215905126</v>
      </c>
      <c r="F525" s="221" t="s">
        <v>1157</v>
      </c>
      <c r="G525" s="156"/>
      <c r="H525" s="157"/>
    </row>
    <row r="526" s="153" customFormat="1" ht="49" customHeight="1" spans="1:8">
      <c r="A526" s="182" t="s">
        <v>1158</v>
      </c>
      <c r="B526" s="100">
        <v>103.53</v>
      </c>
      <c r="C526" s="100">
        <v>97.4</v>
      </c>
      <c r="D526" s="99">
        <f t="shared" si="63"/>
        <v>6.13</v>
      </c>
      <c r="E526" s="166">
        <f t="shared" ref="E526:E534" si="64">D526/C526*100</f>
        <v>6.29363449691991</v>
      </c>
      <c r="F526" s="221" t="s">
        <v>1159</v>
      </c>
      <c r="G526" s="156"/>
      <c r="H526" s="157"/>
    </row>
    <row r="527" s="153" customFormat="1" ht="18" customHeight="1" spans="1:8">
      <c r="A527" s="182" t="s">
        <v>1160</v>
      </c>
      <c r="B527" s="99">
        <v>66</v>
      </c>
      <c r="C527" s="99">
        <v>66</v>
      </c>
      <c r="D527" s="99">
        <f t="shared" si="63"/>
        <v>0</v>
      </c>
      <c r="E527" s="166">
        <f t="shared" si="64"/>
        <v>0</v>
      </c>
      <c r="F527" s="173" t="s">
        <v>1161</v>
      </c>
      <c r="G527" s="156"/>
      <c r="H527" s="157"/>
    </row>
    <row r="528" s="153" customFormat="1" ht="18" customHeight="1" spans="1:8">
      <c r="A528" s="182" t="s">
        <v>1162</v>
      </c>
      <c r="B528" s="99">
        <v>33</v>
      </c>
      <c r="C528" s="99">
        <v>33</v>
      </c>
      <c r="D528" s="99">
        <f t="shared" si="63"/>
        <v>0</v>
      </c>
      <c r="E528" s="166">
        <f t="shared" si="64"/>
        <v>0</v>
      </c>
      <c r="F528" s="173" t="s">
        <v>1163</v>
      </c>
      <c r="G528" s="156"/>
      <c r="H528" s="157"/>
    </row>
    <row r="529" s="153" customFormat="1" ht="18" customHeight="1" spans="1:8">
      <c r="A529" s="172" t="s">
        <v>1164</v>
      </c>
      <c r="B529" s="99">
        <f>SUM(B530:B534)</f>
        <v>587</v>
      </c>
      <c r="C529" s="99">
        <f>SUM(C530:C534)</f>
        <v>625</v>
      </c>
      <c r="D529" s="99">
        <f t="shared" si="63"/>
        <v>-38</v>
      </c>
      <c r="E529" s="166">
        <f t="shared" si="64"/>
        <v>-6.08</v>
      </c>
      <c r="F529" s="179"/>
      <c r="G529" s="156"/>
      <c r="H529" s="157"/>
    </row>
    <row r="530" s="153" customFormat="1" ht="18" customHeight="1" spans="1:8">
      <c r="A530" s="172" t="s">
        <v>1165</v>
      </c>
      <c r="B530" s="99">
        <v>0</v>
      </c>
      <c r="C530" s="99">
        <v>10</v>
      </c>
      <c r="D530" s="99">
        <f t="shared" si="63"/>
        <v>-10</v>
      </c>
      <c r="E530" s="166">
        <f t="shared" si="64"/>
        <v>-100</v>
      </c>
      <c r="F530" s="179" t="s">
        <v>1166</v>
      </c>
      <c r="G530" s="156"/>
      <c r="H530" s="157">
        <v>3.6</v>
      </c>
    </row>
    <row r="531" s="153" customFormat="1" ht="18" customHeight="1" spans="1:8">
      <c r="A531" s="172" t="s">
        <v>1167</v>
      </c>
      <c r="B531" s="99">
        <v>35</v>
      </c>
      <c r="C531" s="99">
        <v>35</v>
      </c>
      <c r="D531" s="99">
        <f t="shared" si="63"/>
        <v>0</v>
      </c>
      <c r="E531" s="166">
        <f t="shared" si="64"/>
        <v>0</v>
      </c>
      <c r="F531" s="179" t="s">
        <v>1168</v>
      </c>
      <c r="G531" s="156"/>
      <c r="H531" s="157"/>
    </row>
    <row r="532" s="153" customFormat="1" ht="18" customHeight="1" spans="1:8">
      <c r="A532" s="172" t="s">
        <v>1169</v>
      </c>
      <c r="B532" s="99">
        <v>140</v>
      </c>
      <c r="C532" s="99">
        <v>140</v>
      </c>
      <c r="D532" s="99">
        <f t="shared" si="63"/>
        <v>0</v>
      </c>
      <c r="E532" s="166">
        <f t="shared" si="64"/>
        <v>0</v>
      </c>
      <c r="F532" s="173" t="s">
        <v>1170</v>
      </c>
      <c r="G532" s="156"/>
      <c r="H532" s="157">
        <v>28</v>
      </c>
    </row>
    <row r="533" s="153" customFormat="1" ht="18" customHeight="1" spans="1:8">
      <c r="A533" s="172" t="s">
        <v>1171</v>
      </c>
      <c r="B533" s="99">
        <v>316</v>
      </c>
      <c r="C533" s="99">
        <v>320</v>
      </c>
      <c r="D533" s="99">
        <f t="shared" si="63"/>
        <v>-4</v>
      </c>
      <c r="E533" s="166">
        <f t="shared" si="64"/>
        <v>-1.25</v>
      </c>
      <c r="F533" s="173"/>
      <c r="G533" s="192"/>
      <c r="H533" s="157">
        <v>4</v>
      </c>
    </row>
    <row r="534" s="152" customFormat="1" ht="27" customHeight="1" spans="1:8">
      <c r="A534" s="172" t="s">
        <v>1172</v>
      </c>
      <c r="B534" s="99">
        <f>C534*0.8</f>
        <v>96</v>
      </c>
      <c r="C534" s="99">
        <v>120</v>
      </c>
      <c r="D534" s="99">
        <f t="shared" ref="D534:D597" si="65">B534-C534</f>
        <v>-24</v>
      </c>
      <c r="E534" s="166">
        <f t="shared" ref="E534:E591" si="66">D534/C534*100</f>
        <v>-20</v>
      </c>
      <c r="F534" s="173" t="s">
        <v>1173</v>
      </c>
      <c r="G534" s="156"/>
      <c r="H534" s="168">
        <v>24</v>
      </c>
    </row>
    <row r="535" s="152" customFormat="1" ht="18" customHeight="1" spans="1:8">
      <c r="A535" s="172" t="s">
        <v>1174</v>
      </c>
      <c r="B535" s="99">
        <f>SUM(B536:B542)</f>
        <v>878.9</v>
      </c>
      <c r="C535" s="99">
        <f>SUM(C536:C542)</f>
        <v>888.9</v>
      </c>
      <c r="D535" s="99">
        <f t="shared" si="65"/>
        <v>-10</v>
      </c>
      <c r="E535" s="166">
        <f t="shared" si="66"/>
        <v>-1.12498593767578</v>
      </c>
      <c r="F535" s="179"/>
      <c r="G535" s="156"/>
      <c r="H535" s="168"/>
    </row>
    <row r="536" s="152" customFormat="1" ht="27.95" customHeight="1" spans="1:8">
      <c r="A536" s="172" t="s">
        <v>1175</v>
      </c>
      <c r="B536" s="99">
        <v>75</v>
      </c>
      <c r="C536" s="99">
        <v>75</v>
      </c>
      <c r="D536" s="99">
        <f t="shared" si="65"/>
        <v>0</v>
      </c>
      <c r="E536" s="166">
        <f t="shared" si="66"/>
        <v>0</v>
      </c>
      <c r="F536" s="179" t="s">
        <v>1176</v>
      </c>
      <c r="G536" s="156"/>
      <c r="H536" s="168"/>
    </row>
    <row r="537" s="152" customFormat="1" ht="21.95" customHeight="1" spans="1:8">
      <c r="A537" s="172" t="s">
        <v>1177</v>
      </c>
      <c r="B537" s="99">
        <v>46.9</v>
      </c>
      <c r="C537" s="99">
        <v>46.9</v>
      </c>
      <c r="D537" s="99">
        <f t="shared" si="65"/>
        <v>0</v>
      </c>
      <c r="E537" s="166">
        <f t="shared" si="66"/>
        <v>0</v>
      </c>
      <c r="F537" s="179" t="s">
        <v>1178</v>
      </c>
      <c r="G537" s="156"/>
      <c r="H537" s="168"/>
    </row>
    <row r="538" s="152" customFormat="1" ht="18" customHeight="1" spans="1:8">
      <c r="A538" s="172" t="s">
        <v>1179</v>
      </c>
      <c r="B538" s="99">
        <v>200</v>
      </c>
      <c r="C538" s="99">
        <v>200</v>
      </c>
      <c r="D538" s="99">
        <f t="shared" si="65"/>
        <v>0</v>
      </c>
      <c r="E538" s="166">
        <f t="shared" si="66"/>
        <v>0</v>
      </c>
      <c r="F538" s="179" t="s">
        <v>745</v>
      </c>
      <c r="G538" s="156"/>
      <c r="H538" s="168"/>
    </row>
    <row r="539" s="152" customFormat="1" ht="18" customHeight="1" spans="1:8">
      <c r="A539" s="172" t="s">
        <v>1180</v>
      </c>
      <c r="B539" s="99">
        <v>376</v>
      </c>
      <c r="C539" s="99">
        <v>380</v>
      </c>
      <c r="D539" s="99">
        <f t="shared" si="65"/>
        <v>-4</v>
      </c>
      <c r="E539" s="166">
        <f t="shared" si="66"/>
        <v>-1.05263157894737</v>
      </c>
      <c r="F539" s="179" t="s">
        <v>1181</v>
      </c>
      <c r="G539" s="156"/>
      <c r="H539" s="168">
        <v>4</v>
      </c>
    </row>
    <row r="540" s="152" customFormat="1" ht="18" customHeight="1" spans="1:8">
      <c r="A540" s="172" t="s">
        <v>1182</v>
      </c>
      <c r="B540" s="99">
        <v>37</v>
      </c>
      <c r="C540" s="99">
        <v>37</v>
      </c>
      <c r="D540" s="99">
        <f t="shared" si="65"/>
        <v>0</v>
      </c>
      <c r="E540" s="166">
        <f t="shared" si="66"/>
        <v>0</v>
      </c>
      <c r="F540" s="179" t="s">
        <v>1183</v>
      </c>
      <c r="G540" s="156"/>
      <c r="H540" s="168"/>
    </row>
    <row r="541" s="152" customFormat="1" ht="18" customHeight="1" spans="1:8">
      <c r="A541" s="172" t="s">
        <v>1184</v>
      </c>
      <c r="B541" s="99">
        <f>C541*0.8</f>
        <v>24</v>
      </c>
      <c r="C541" s="99">
        <v>30</v>
      </c>
      <c r="D541" s="99">
        <f t="shared" si="65"/>
        <v>-6</v>
      </c>
      <c r="E541" s="166">
        <f t="shared" si="66"/>
        <v>-20</v>
      </c>
      <c r="F541" s="179"/>
      <c r="G541" s="156"/>
      <c r="H541" s="168">
        <v>6</v>
      </c>
    </row>
    <row r="542" s="152" customFormat="1" ht="18" customHeight="1" spans="1:8">
      <c r="A542" s="172" t="s">
        <v>1185</v>
      </c>
      <c r="B542" s="99">
        <v>120</v>
      </c>
      <c r="C542" s="99">
        <v>120</v>
      </c>
      <c r="D542" s="99">
        <f t="shared" si="65"/>
        <v>0</v>
      </c>
      <c r="E542" s="166">
        <f t="shared" si="66"/>
        <v>0</v>
      </c>
      <c r="F542" s="179"/>
      <c r="G542" s="156"/>
      <c r="H542" s="168"/>
    </row>
    <row r="543" s="152" customFormat="1" ht="63.95" customHeight="1" spans="1:8">
      <c r="A543" s="172" t="s">
        <v>1186</v>
      </c>
      <c r="B543" s="99">
        <v>2600</v>
      </c>
      <c r="C543" s="99">
        <v>2500</v>
      </c>
      <c r="D543" s="99">
        <f t="shared" si="65"/>
        <v>100</v>
      </c>
      <c r="E543" s="166">
        <f t="shared" si="66"/>
        <v>4</v>
      </c>
      <c r="F543" s="179" t="s">
        <v>1187</v>
      </c>
      <c r="G543" s="156"/>
      <c r="H543" s="168">
        <v>10</v>
      </c>
    </row>
    <row r="544" s="152" customFormat="1" ht="18" customHeight="1" spans="1:8">
      <c r="A544" s="169" t="s">
        <v>331</v>
      </c>
      <c r="B544" s="170">
        <f>SUM(B545:B556)</f>
        <v>1156.5</v>
      </c>
      <c r="C544" s="170">
        <f>SUM(C545:C556)</f>
        <v>1382.75</v>
      </c>
      <c r="D544" s="99">
        <f t="shared" si="65"/>
        <v>-226.25</v>
      </c>
      <c r="E544" s="166">
        <f t="shared" si="66"/>
        <v>-16.362321460857</v>
      </c>
      <c r="F544" s="171"/>
      <c r="G544" s="156"/>
      <c r="H544" s="168"/>
    </row>
    <row r="545" s="152" customFormat="1" ht="18" customHeight="1" spans="1:8">
      <c r="A545" s="172" t="s">
        <v>1188</v>
      </c>
      <c r="B545" s="99">
        <v>7</v>
      </c>
      <c r="C545" s="99">
        <v>7</v>
      </c>
      <c r="D545" s="99">
        <f t="shared" si="65"/>
        <v>0</v>
      </c>
      <c r="E545" s="166">
        <f t="shared" si="66"/>
        <v>0</v>
      </c>
      <c r="F545" s="179"/>
      <c r="G545" s="156"/>
      <c r="H545" s="168"/>
    </row>
    <row r="546" s="152" customFormat="1" ht="18" customHeight="1" spans="1:8">
      <c r="A546" s="172" t="s">
        <v>1189</v>
      </c>
      <c r="B546" s="99">
        <v>8.5</v>
      </c>
      <c r="C546" s="99">
        <v>8.5</v>
      </c>
      <c r="D546" s="99">
        <f t="shared" si="65"/>
        <v>0</v>
      </c>
      <c r="E546" s="166">
        <f t="shared" si="66"/>
        <v>0</v>
      </c>
      <c r="F546" s="179" t="s">
        <v>1190</v>
      </c>
      <c r="G546" s="156"/>
      <c r="H546" s="168"/>
    </row>
    <row r="547" s="153" customFormat="1" ht="18" customHeight="1" spans="1:8">
      <c r="A547" s="172" t="s">
        <v>1191</v>
      </c>
      <c r="B547" s="99">
        <v>12</v>
      </c>
      <c r="C547" s="99">
        <v>12</v>
      </c>
      <c r="D547" s="99">
        <f t="shared" si="65"/>
        <v>0</v>
      </c>
      <c r="E547" s="166">
        <f t="shared" si="66"/>
        <v>0</v>
      </c>
      <c r="F547" s="179"/>
      <c r="G547" s="156"/>
      <c r="H547" s="157"/>
    </row>
    <row r="548" s="153" customFormat="1" ht="18" customHeight="1" spans="1:8">
      <c r="A548" s="172" t="s">
        <v>1192</v>
      </c>
      <c r="B548" s="99">
        <v>296</v>
      </c>
      <c r="C548" s="99">
        <v>370.8</v>
      </c>
      <c r="D548" s="99">
        <f t="shared" si="65"/>
        <v>-74.8</v>
      </c>
      <c r="E548" s="166">
        <f t="shared" si="66"/>
        <v>-20.1725997842503</v>
      </c>
      <c r="F548" s="179"/>
      <c r="G548" s="156"/>
      <c r="H548" s="157">
        <v>74.8</v>
      </c>
    </row>
    <row r="549" s="153" customFormat="1" ht="18" customHeight="1" spans="1:8">
      <c r="A549" s="172" t="s">
        <v>1193</v>
      </c>
      <c r="B549" s="99">
        <f>C549*0.8</f>
        <v>240</v>
      </c>
      <c r="C549" s="99">
        <v>300</v>
      </c>
      <c r="D549" s="99">
        <f t="shared" si="65"/>
        <v>-60</v>
      </c>
      <c r="E549" s="166">
        <f t="shared" si="66"/>
        <v>-20</v>
      </c>
      <c r="F549" s="179"/>
      <c r="G549" s="156"/>
      <c r="H549" s="157">
        <v>60</v>
      </c>
    </row>
    <row r="550" s="152" customFormat="1" ht="18" customHeight="1" spans="1:8">
      <c r="A550" s="172" t="s">
        <v>1194</v>
      </c>
      <c r="B550" s="99">
        <f>C550*0.8</f>
        <v>40</v>
      </c>
      <c r="C550" s="99">
        <v>50</v>
      </c>
      <c r="D550" s="99">
        <f t="shared" si="65"/>
        <v>-10</v>
      </c>
      <c r="E550" s="166">
        <f t="shared" si="66"/>
        <v>-20</v>
      </c>
      <c r="F550" s="179" t="s">
        <v>1195</v>
      </c>
      <c r="G550" s="156"/>
      <c r="H550" s="168">
        <v>10</v>
      </c>
    </row>
    <row r="551" s="152" customFormat="1" ht="18" customHeight="1" spans="1:8">
      <c r="A551" s="172" t="s">
        <v>1196</v>
      </c>
      <c r="B551" s="99">
        <v>249</v>
      </c>
      <c r="C551" s="99">
        <v>312.45</v>
      </c>
      <c r="D551" s="99">
        <f t="shared" si="65"/>
        <v>-63.45</v>
      </c>
      <c r="E551" s="166">
        <f t="shared" si="66"/>
        <v>-20.3072491598656</v>
      </c>
      <c r="F551" s="179" t="s">
        <v>1197</v>
      </c>
      <c r="G551" s="156"/>
      <c r="H551" s="168">
        <v>63.45</v>
      </c>
    </row>
    <row r="552" s="152" customFormat="1" ht="18" customHeight="1" spans="1:8">
      <c r="A552" s="172" t="s">
        <v>1198</v>
      </c>
      <c r="B552" s="99">
        <v>240</v>
      </c>
      <c r="C552" s="99">
        <v>240</v>
      </c>
      <c r="D552" s="99">
        <f t="shared" si="65"/>
        <v>0</v>
      </c>
      <c r="E552" s="166">
        <f t="shared" si="66"/>
        <v>0</v>
      </c>
      <c r="F552" s="179" t="s">
        <v>1199</v>
      </c>
      <c r="G552" s="156"/>
      <c r="H552" s="168"/>
    </row>
    <row r="553" s="153" customFormat="1" ht="18" customHeight="1" spans="1:8">
      <c r="A553" s="172" t="s">
        <v>1200</v>
      </c>
      <c r="B553" s="99">
        <v>8</v>
      </c>
      <c r="C553" s="99">
        <v>12</v>
      </c>
      <c r="D553" s="99">
        <f t="shared" si="65"/>
        <v>-4</v>
      </c>
      <c r="E553" s="166">
        <f t="shared" si="66"/>
        <v>-33.3333333333333</v>
      </c>
      <c r="F553" s="179" t="s">
        <v>545</v>
      </c>
      <c r="G553" s="156"/>
      <c r="H553" s="157">
        <v>4</v>
      </c>
    </row>
    <row r="554" s="153" customFormat="1" ht="18" customHeight="1" spans="1:8">
      <c r="A554" s="172" t="s">
        <v>1201</v>
      </c>
      <c r="B554" s="99">
        <f>C554*0.8</f>
        <v>16</v>
      </c>
      <c r="C554" s="99">
        <v>20</v>
      </c>
      <c r="D554" s="99">
        <f t="shared" si="65"/>
        <v>-4</v>
      </c>
      <c r="E554" s="166">
        <f t="shared" si="66"/>
        <v>-20</v>
      </c>
      <c r="F554" s="179" t="s">
        <v>1202</v>
      </c>
      <c r="G554" s="156"/>
      <c r="H554" s="157">
        <v>4</v>
      </c>
    </row>
    <row r="555" s="153" customFormat="1" ht="18" customHeight="1" spans="1:8">
      <c r="A555" s="172" t="s">
        <v>1203</v>
      </c>
      <c r="B555" s="99">
        <f>C555*0.8</f>
        <v>24</v>
      </c>
      <c r="C555" s="99">
        <v>30</v>
      </c>
      <c r="D555" s="99">
        <f t="shared" si="65"/>
        <v>-6</v>
      </c>
      <c r="E555" s="166">
        <f t="shared" si="66"/>
        <v>-20</v>
      </c>
      <c r="F555" s="179" t="s">
        <v>1204</v>
      </c>
      <c r="G555" s="156"/>
      <c r="H555" s="157">
        <v>6</v>
      </c>
    </row>
    <row r="556" s="153" customFormat="1" ht="18" customHeight="1" spans="1:8">
      <c r="A556" s="172" t="s">
        <v>1205</v>
      </c>
      <c r="B556" s="99">
        <f>C556*0.8</f>
        <v>16</v>
      </c>
      <c r="C556" s="99">
        <v>20</v>
      </c>
      <c r="D556" s="99">
        <f t="shared" si="65"/>
        <v>-4</v>
      </c>
      <c r="E556" s="166">
        <f t="shared" si="66"/>
        <v>-20</v>
      </c>
      <c r="F556" s="179"/>
      <c r="G556" s="156"/>
      <c r="H556" s="157">
        <v>4</v>
      </c>
    </row>
    <row r="557" s="153" customFormat="1" ht="18" customHeight="1" spans="1:8">
      <c r="A557" s="169" t="s">
        <v>1206</v>
      </c>
      <c r="B557" s="170">
        <f>B558+B559</f>
        <v>1642.4</v>
      </c>
      <c r="C557" s="170">
        <f>C558+C559</f>
        <v>1925</v>
      </c>
      <c r="D557" s="99">
        <f t="shared" si="65"/>
        <v>-282.6</v>
      </c>
      <c r="E557" s="166">
        <f t="shared" si="66"/>
        <v>-14.6805194805195</v>
      </c>
      <c r="F557" s="171"/>
      <c r="G557" s="156"/>
      <c r="H557" s="157"/>
    </row>
    <row r="558" s="153" customFormat="1" ht="18" customHeight="1" spans="1:8">
      <c r="A558" s="172" t="s">
        <v>1207</v>
      </c>
      <c r="B558" s="99">
        <f>C558*0.8</f>
        <v>6.4</v>
      </c>
      <c r="C558" s="99">
        <v>8</v>
      </c>
      <c r="D558" s="99">
        <f t="shared" si="65"/>
        <v>-1.6</v>
      </c>
      <c r="E558" s="166">
        <f t="shared" si="66"/>
        <v>-20</v>
      </c>
      <c r="F558" s="179"/>
      <c r="G558" s="156"/>
      <c r="H558" s="157">
        <v>1.6</v>
      </c>
    </row>
    <row r="559" s="153" customFormat="1" ht="18" customHeight="1" spans="1:8">
      <c r="A559" s="172" t="s">
        <v>1208</v>
      </c>
      <c r="B559" s="99">
        <f>SUM(B560:B564)</f>
        <v>1636</v>
      </c>
      <c r="C559" s="99">
        <f>SUM(C560:C564)</f>
        <v>1917</v>
      </c>
      <c r="D559" s="99">
        <f t="shared" si="65"/>
        <v>-281</v>
      </c>
      <c r="E559" s="166">
        <f t="shared" si="66"/>
        <v>-14.6583202921231</v>
      </c>
      <c r="F559" s="179"/>
      <c r="G559" s="156"/>
      <c r="H559" s="157"/>
    </row>
    <row r="560" s="153" customFormat="1" ht="18" customHeight="1" spans="1:8">
      <c r="A560" s="182" t="s">
        <v>1209</v>
      </c>
      <c r="B560" s="99">
        <v>400</v>
      </c>
      <c r="C560" s="99">
        <v>400</v>
      </c>
      <c r="D560" s="99">
        <f t="shared" si="65"/>
        <v>0</v>
      </c>
      <c r="E560" s="166">
        <f t="shared" si="66"/>
        <v>0</v>
      </c>
      <c r="F560" s="179" t="s">
        <v>1210</v>
      </c>
      <c r="G560" s="156"/>
      <c r="H560" s="157"/>
    </row>
    <row r="561" s="153" customFormat="1" ht="18" customHeight="1" spans="1:8">
      <c r="A561" s="182" t="s">
        <v>1211</v>
      </c>
      <c r="B561" s="99">
        <v>40</v>
      </c>
      <c r="C561" s="99">
        <v>54</v>
      </c>
      <c r="D561" s="99">
        <f t="shared" si="65"/>
        <v>-14</v>
      </c>
      <c r="E561" s="166">
        <f t="shared" si="66"/>
        <v>-25.9259259259259</v>
      </c>
      <c r="F561" s="179" t="s">
        <v>1212</v>
      </c>
      <c r="G561" s="156"/>
      <c r="H561" s="157">
        <v>14</v>
      </c>
    </row>
    <row r="562" s="153" customFormat="1" ht="27.95" customHeight="1" spans="1:8">
      <c r="A562" s="182" t="s">
        <v>1213</v>
      </c>
      <c r="B562" s="99">
        <v>556</v>
      </c>
      <c r="C562" s="99">
        <v>648</v>
      </c>
      <c r="D562" s="99">
        <f t="shared" si="65"/>
        <v>-92</v>
      </c>
      <c r="E562" s="166">
        <f t="shared" si="66"/>
        <v>-14.1975308641975</v>
      </c>
      <c r="F562" s="173" t="s">
        <v>1214</v>
      </c>
      <c r="G562" s="192"/>
      <c r="H562" s="157">
        <v>92</v>
      </c>
    </row>
    <row r="563" s="153" customFormat="1" ht="18" customHeight="1" spans="1:8">
      <c r="A563" s="182" t="s">
        <v>1215</v>
      </c>
      <c r="B563" s="99">
        <v>0</v>
      </c>
      <c r="C563" s="99">
        <v>15</v>
      </c>
      <c r="D563" s="99">
        <f t="shared" si="65"/>
        <v>-15</v>
      </c>
      <c r="E563" s="166">
        <f t="shared" si="66"/>
        <v>-100</v>
      </c>
      <c r="F563" s="179" t="s">
        <v>1216</v>
      </c>
      <c r="G563" s="156"/>
      <c r="H563" s="157"/>
    </row>
    <row r="564" s="153" customFormat="1" ht="18" customHeight="1" spans="1:8">
      <c r="A564" s="182" t="s">
        <v>1217</v>
      </c>
      <c r="B564" s="99">
        <f>C564*0.8</f>
        <v>640</v>
      </c>
      <c r="C564" s="99">
        <v>800</v>
      </c>
      <c r="D564" s="99">
        <f t="shared" si="65"/>
        <v>-160</v>
      </c>
      <c r="E564" s="166">
        <f t="shared" si="66"/>
        <v>-20</v>
      </c>
      <c r="F564" s="179" t="s">
        <v>1218</v>
      </c>
      <c r="G564" s="156"/>
      <c r="H564" s="157">
        <v>160</v>
      </c>
    </row>
    <row r="565" s="153" customFormat="1" ht="18" customHeight="1" spans="1:8">
      <c r="A565" s="222" t="s">
        <v>1219</v>
      </c>
      <c r="B565" s="170">
        <f>B567+B566</f>
        <v>1087</v>
      </c>
      <c r="C565" s="170">
        <f>C567+C566</f>
        <v>1187</v>
      </c>
      <c r="D565" s="99">
        <f t="shared" si="65"/>
        <v>-100</v>
      </c>
      <c r="E565" s="166">
        <f t="shared" si="66"/>
        <v>-8.424599831508</v>
      </c>
      <c r="F565" s="179"/>
      <c r="G565" s="156"/>
      <c r="H565" s="157"/>
    </row>
    <row r="566" s="153" customFormat="1" ht="42.95" customHeight="1" spans="1:8">
      <c r="A566" s="195" t="s">
        <v>1220</v>
      </c>
      <c r="B566" s="170">
        <v>1000</v>
      </c>
      <c r="C566" s="170">
        <v>1100</v>
      </c>
      <c r="D566" s="99">
        <f t="shared" si="65"/>
        <v>-100</v>
      </c>
      <c r="E566" s="166">
        <f t="shared" si="66"/>
        <v>-9.09090909090909</v>
      </c>
      <c r="F566" s="180" t="s">
        <v>1221</v>
      </c>
      <c r="G566" s="156"/>
      <c r="H566" s="157">
        <v>100</v>
      </c>
    </row>
    <row r="567" s="153" customFormat="1" ht="18" customHeight="1" spans="1:8">
      <c r="A567" s="195" t="s">
        <v>1222</v>
      </c>
      <c r="B567" s="99">
        <f>SUM(B568:B572)</f>
        <v>87</v>
      </c>
      <c r="C567" s="99">
        <f>SUM(C568:C572)</f>
        <v>87</v>
      </c>
      <c r="D567" s="99">
        <f t="shared" si="65"/>
        <v>0</v>
      </c>
      <c r="E567" s="166">
        <f t="shared" si="66"/>
        <v>0</v>
      </c>
      <c r="F567" s="173"/>
      <c r="G567" s="156"/>
      <c r="H567" s="157"/>
    </row>
    <row r="568" s="153" customFormat="1" ht="18" customHeight="1" spans="1:8">
      <c r="A568" s="197" t="s">
        <v>1223</v>
      </c>
      <c r="B568" s="99">
        <v>35</v>
      </c>
      <c r="C568" s="99">
        <v>35</v>
      </c>
      <c r="D568" s="99">
        <f t="shared" si="65"/>
        <v>0</v>
      </c>
      <c r="E568" s="166">
        <f t="shared" si="66"/>
        <v>0</v>
      </c>
      <c r="F568" s="173" t="s">
        <v>1224</v>
      </c>
      <c r="G568" s="156"/>
      <c r="H568" s="157"/>
    </row>
    <row r="569" s="153" customFormat="1" ht="18" customHeight="1" spans="1:8">
      <c r="A569" s="197" t="s">
        <v>1225</v>
      </c>
      <c r="B569" s="99">
        <v>20</v>
      </c>
      <c r="C569" s="99">
        <v>20</v>
      </c>
      <c r="D569" s="99">
        <f t="shared" si="65"/>
        <v>0</v>
      </c>
      <c r="E569" s="166">
        <f t="shared" si="66"/>
        <v>0</v>
      </c>
      <c r="F569" s="173"/>
      <c r="G569" s="156"/>
      <c r="H569" s="157"/>
    </row>
    <row r="570" s="153" customFormat="1" ht="18" customHeight="1" spans="1:8">
      <c r="A570" s="197" t="s">
        <v>1226</v>
      </c>
      <c r="B570" s="99">
        <v>5</v>
      </c>
      <c r="C570" s="99">
        <v>5</v>
      </c>
      <c r="D570" s="99">
        <f t="shared" si="65"/>
        <v>0</v>
      </c>
      <c r="E570" s="166">
        <f t="shared" si="66"/>
        <v>0</v>
      </c>
      <c r="F570" s="173"/>
      <c r="G570" s="156"/>
      <c r="H570" s="157"/>
    </row>
    <row r="571" s="153" customFormat="1" ht="18" customHeight="1" spans="1:8">
      <c r="A571" s="197" t="s">
        <v>1227</v>
      </c>
      <c r="B571" s="99">
        <v>7</v>
      </c>
      <c r="C571" s="99">
        <v>7</v>
      </c>
      <c r="D571" s="99">
        <f t="shared" si="65"/>
        <v>0</v>
      </c>
      <c r="E571" s="166">
        <f t="shared" si="66"/>
        <v>0</v>
      </c>
      <c r="F571" s="173"/>
      <c r="G571" s="156"/>
      <c r="H571" s="157"/>
    </row>
    <row r="572" s="153" customFormat="1" ht="18" customHeight="1" spans="1:8">
      <c r="A572" s="197" t="s">
        <v>1228</v>
      </c>
      <c r="B572" s="99">
        <v>20</v>
      </c>
      <c r="C572" s="99">
        <v>20</v>
      </c>
      <c r="D572" s="99">
        <f t="shared" si="65"/>
        <v>0</v>
      </c>
      <c r="E572" s="166">
        <f t="shared" si="66"/>
        <v>0</v>
      </c>
      <c r="F572" s="173"/>
      <c r="G572" s="156"/>
      <c r="H572" s="157"/>
    </row>
    <row r="573" s="153" customFormat="1" ht="18" customHeight="1" spans="1:8">
      <c r="A573" s="222" t="s">
        <v>1229</v>
      </c>
      <c r="B573" s="223">
        <f>SUM(B574:B578)</f>
        <v>308</v>
      </c>
      <c r="C573" s="223">
        <f>SUM(C574:C578)</f>
        <v>363</v>
      </c>
      <c r="D573" s="99">
        <f t="shared" si="65"/>
        <v>-55</v>
      </c>
      <c r="E573" s="166">
        <f t="shared" si="66"/>
        <v>-15.1515151515152</v>
      </c>
      <c r="F573" s="179"/>
      <c r="G573" s="156"/>
      <c r="H573" s="157"/>
    </row>
    <row r="574" s="153" customFormat="1" ht="18" customHeight="1" spans="1:8">
      <c r="A574" s="196" t="s">
        <v>1230</v>
      </c>
      <c r="B574" s="224">
        <f>C574*0.8</f>
        <v>32</v>
      </c>
      <c r="C574" s="224">
        <v>40</v>
      </c>
      <c r="D574" s="99">
        <f t="shared" si="65"/>
        <v>-8</v>
      </c>
      <c r="E574" s="166">
        <f t="shared" si="66"/>
        <v>-20</v>
      </c>
      <c r="F574" s="202"/>
      <c r="G574" s="156"/>
      <c r="H574" s="157">
        <v>8</v>
      </c>
    </row>
    <row r="575" s="153" customFormat="1" ht="18" customHeight="1" spans="1:8">
      <c r="A575" s="196" t="s">
        <v>1231</v>
      </c>
      <c r="B575" s="224">
        <f>C575*0.8</f>
        <v>4</v>
      </c>
      <c r="C575" s="224">
        <v>5</v>
      </c>
      <c r="D575" s="99">
        <f t="shared" si="65"/>
        <v>-1</v>
      </c>
      <c r="E575" s="166">
        <f t="shared" si="66"/>
        <v>-20</v>
      </c>
      <c r="F575" s="202" t="s">
        <v>1232</v>
      </c>
      <c r="G575" s="156"/>
      <c r="H575" s="157">
        <v>1</v>
      </c>
    </row>
    <row r="576" s="153" customFormat="1" ht="18" customHeight="1" spans="1:8">
      <c r="A576" s="195" t="s">
        <v>1233</v>
      </c>
      <c r="B576" s="224">
        <f>C576*0.8</f>
        <v>32</v>
      </c>
      <c r="C576" s="224">
        <v>40</v>
      </c>
      <c r="D576" s="99">
        <f t="shared" si="65"/>
        <v>-8</v>
      </c>
      <c r="E576" s="166">
        <f t="shared" si="66"/>
        <v>-20</v>
      </c>
      <c r="F576" s="202"/>
      <c r="G576" s="156"/>
      <c r="H576" s="157">
        <v>8</v>
      </c>
    </row>
    <row r="577" s="153" customFormat="1" ht="18" customHeight="1" spans="1:8">
      <c r="A577" s="195" t="s">
        <v>1234</v>
      </c>
      <c r="B577" s="224">
        <v>40</v>
      </c>
      <c r="C577" s="224">
        <v>40</v>
      </c>
      <c r="D577" s="99">
        <f t="shared" si="65"/>
        <v>0</v>
      </c>
      <c r="E577" s="166">
        <f t="shared" si="66"/>
        <v>0</v>
      </c>
      <c r="F577" s="202" t="s">
        <v>819</v>
      </c>
      <c r="G577" s="156"/>
      <c r="H577" s="157">
        <v>8</v>
      </c>
    </row>
    <row r="578" s="153" customFormat="1" ht="18" customHeight="1" spans="1:8">
      <c r="A578" s="195" t="s">
        <v>1235</v>
      </c>
      <c r="B578" s="224">
        <v>200</v>
      </c>
      <c r="C578" s="224">
        <v>238</v>
      </c>
      <c r="D578" s="99">
        <f t="shared" si="65"/>
        <v>-38</v>
      </c>
      <c r="E578" s="166">
        <f t="shared" si="66"/>
        <v>-15.9663865546218</v>
      </c>
      <c r="F578" s="202" t="s">
        <v>1236</v>
      </c>
      <c r="G578" s="156"/>
      <c r="H578" s="157">
        <v>38</v>
      </c>
    </row>
    <row r="579" s="152" customFormat="1" ht="15" customHeight="1" spans="1:8">
      <c r="A579" s="222" t="s">
        <v>348</v>
      </c>
      <c r="B579" s="170">
        <f>SUM(B580:B581)</f>
        <v>335</v>
      </c>
      <c r="C579" s="170">
        <f>SUM(C580:C581)</f>
        <v>335</v>
      </c>
      <c r="D579" s="99">
        <f t="shared" si="65"/>
        <v>0</v>
      </c>
      <c r="E579" s="166">
        <f t="shared" si="66"/>
        <v>0</v>
      </c>
      <c r="F579" s="179"/>
      <c r="G579" s="156"/>
      <c r="H579" s="168"/>
    </row>
    <row r="580" s="153" customFormat="1" ht="33" customHeight="1" spans="1:8">
      <c r="A580" s="196" t="s">
        <v>1237</v>
      </c>
      <c r="B580" s="99">
        <v>300</v>
      </c>
      <c r="C580" s="99">
        <v>300</v>
      </c>
      <c r="D580" s="99">
        <f t="shared" si="65"/>
        <v>0</v>
      </c>
      <c r="E580" s="166">
        <f t="shared" si="66"/>
        <v>0</v>
      </c>
      <c r="F580" s="179" t="s">
        <v>1238</v>
      </c>
      <c r="G580" s="156"/>
      <c r="H580" s="157"/>
    </row>
    <row r="581" s="153" customFormat="1" ht="20.1" customHeight="1" spans="1:8">
      <c r="A581" s="196" t="s">
        <v>1239</v>
      </c>
      <c r="B581" s="99">
        <v>35</v>
      </c>
      <c r="C581" s="99">
        <v>35</v>
      </c>
      <c r="D581" s="99">
        <f t="shared" si="65"/>
        <v>0</v>
      </c>
      <c r="E581" s="166">
        <f t="shared" si="66"/>
        <v>0</v>
      </c>
      <c r="F581" s="179" t="s">
        <v>1240</v>
      </c>
      <c r="G581" s="156"/>
      <c r="H581" s="157"/>
    </row>
    <row r="582" s="153" customFormat="1" ht="18" customHeight="1" spans="1:8">
      <c r="A582" s="222" t="s">
        <v>1241</v>
      </c>
      <c r="B582" s="99">
        <f>B583+B590</f>
        <v>1240.9</v>
      </c>
      <c r="C582" s="99">
        <f>C583+C590</f>
        <v>997</v>
      </c>
      <c r="D582" s="99">
        <f t="shared" si="65"/>
        <v>243.9</v>
      </c>
      <c r="E582" s="166">
        <f t="shared" si="66"/>
        <v>24.4633901705115</v>
      </c>
      <c r="F582" s="179"/>
      <c r="G582" s="156"/>
      <c r="H582" s="157"/>
    </row>
    <row r="583" s="153" customFormat="1" ht="18" customHeight="1" spans="1:8">
      <c r="A583" s="172" t="s">
        <v>1242</v>
      </c>
      <c r="B583" s="99">
        <f>B585+B584+B589+B586+B587+B588</f>
        <v>242</v>
      </c>
      <c r="C583" s="99">
        <f>C585+C584+C589+C586+C587+C588</f>
        <v>217</v>
      </c>
      <c r="D583" s="99">
        <f t="shared" si="65"/>
        <v>25</v>
      </c>
      <c r="E583" s="166">
        <f t="shared" si="66"/>
        <v>11.5207373271889</v>
      </c>
      <c r="F583" s="179"/>
      <c r="G583" s="156"/>
      <c r="H583" s="157"/>
    </row>
    <row r="584" s="153" customFormat="1" ht="18" customHeight="1" spans="1:8">
      <c r="A584" s="172" t="s">
        <v>1243</v>
      </c>
      <c r="B584" s="99">
        <v>10</v>
      </c>
      <c r="C584" s="99">
        <v>10</v>
      </c>
      <c r="D584" s="99">
        <f t="shared" si="65"/>
        <v>0</v>
      </c>
      <c r="E584" s="166">
        <f t="shared" si="66"/>
        <v>0</v>
      </c>
      <c r="F584" s="179"/>
      <c r="G584" s="156"/>
      <c r="H584" s="157"/>
    </row>
    <row r="585" s="153" customFormat="1" ht="18" customHeight="1" spans="1:8">
      <c r="A585" s="172" t="s">
        <v>1244</v>
      </c>
      <c r="B585" s="99">
        <v>12</v>
      </c>
      <c r="C585" s="99">
        <v>12</v>
      </c>
      <c r="D585" s="99">
        <f t="shared" si="65"/>
        <v>0</v>
      </c>
      <c r="E585" s="166">
        <f t="shared" si="66"/>
        <v>0</v>
      </c>
      <c r="F585" s="179"/>
      <c r="G585" s="156"/>
      <c r="H585" s="157"/>
    </row>
    <row r="586" s="153" customFormat="1" ht="18" customHeight="1" spans="1:8">
      <c r="A586" s="172" t="s">
        <v>1245</v>
      </c>
      <c r="B586" s="99">
        <v>30</v>
      </c>
      <c r="C586" s="99">
        <v>30</v>
      </c>
      <c r="D586" s="99">
        <f t="shared" si="65"/>
        <v>0</v>
      </c>
      <c r="E586" s="166">
        <f t="shared" si="66"/>
        <v>0</v>
      </c>
      <c r="F586" s="179"/>
      <c r="G586" s="156"/>
      <c r="H586" s="157"/>
    </row>
    <row r="587" s="153" customFormat="1" ht="18" customHeight="1" spans="1:8">
      <c r="A587" s="172" t="s">
        <v>1246</v>
      </c>
      <c r="B587" s="99">
        <v>50</v>
      </c>
      <c r="C587" s="99">
        <v>50</v>
      </c>
      <c r="D587" s="99">
        <f t="shared" si="65"/>
        <v>0</v>
      </c>
      <c r="E587" s="166">
        <f t="shared" si="66"/>
        <v>0</v>
      </c>
      <c r="F587" s="179"/>
      <c r="G587" s="156"/>
      <c r="H587" s="157"/>
    </row>
    <row r="588" s="153" customFormat="1" ht="18" customHeight="1" spans="1:8">
      <c r="A588" s="172" t="s">
        <v>1247</v>
      </c>
      <c r="B588" s="99">
        <v>105</v>
      </c>
      <c r="C588" s="99">
        <v>80</v>
      </c>
      <c r="D588" s="99">
        <f t="shared" si="65"/>
        <v>25</v>
      </c>
      <c r="E588" s="166">
        <f t="shared" si="66"/>
        <v>31.25</v>
      </c>
      <c r="F588" s="179" t="s">
        <v>1248</v>
      </c>
      <c r="G588" s="156"/>
      <c r="H588" s="157"/>
    </row>
    <row r="589" s="153" customFormat="1" ht="18" customHeight="1" spans="1:8">
      <c r="A589" s="172" t="s">
        <v>1249</v>
      </c>
      <c r="B589" s="99">
        <v>35</v>
      </c>
      <c r="C589" s="99">
        <v>35</v>
      </c>
      <c r="D589" s="99">
        <f t="shared" si="65"/>
        <v>0</v>
      </c>
      <c r="E589" s="166">
        <f t="shared" si="66"/>
        <v>0</v>
      </c>
      <c r="F589" s="179"/>
      <c r="G589" s="156"/>
      <c r="H589" s="157"/>
    </row>
    <row r="590" s="153" customFormat="1" ht="18" customHeight="1" spans="1:8">
      <c r="A590" s="172" t="s">
        <v>1250</v>
      </c>
      <c r="B590" s="99">
        <f>SUM(B591:B599)</f>
        <v>998.9</v>
      </c>
      <c r="C590" s="99">
        <f>SUM(C591:C599)</f>
        <v>780</v>
      </c>
      <c r="D590" s="99">
        <f t="shared" si="65"/>
        <v>218.9</v>
      </c>
      <c r="E590" s="166">
        <f t="shared" si="66"/>
        <v>28.0641025641026</v>
      </c>
      <c r="F590" s="179"/>
      <c r="G590" s="156"/>
      <c r="H590" s="157"/>
    </row>
    <row r="591" s="153" customFormat="1" ht="30.95" customHeight="1" spans="1:8">
      <c r="A591" s="172" t="s">
        <v>1251</v>
      </c>
      <c r="B591" s="99">
        <v>333</v>
      </c>
      <c r="C591" s="99">
        <v>220</v>
      </c>
      <c r="D591" s="99">
        <f t="shared" si="65"/>
        <v>113</v>
      </c>
      <c r="E591" s="166">
        <f t="shared" si="66"/>
        <v>51.3636363636364</v>
      </c>
      <c r="F591" s="179" t="s">
        <v>1252</v>
      </c>
      <c r="G591" s="156"/>
      <c r="H591" s="157"/>
    </row>
    <row r="592" s="153" customFormat="1" ht="33.95" customHeight="1" spans="1:8">
      <c r="A592" s="172" t="s">
        <v>1253</v>
      </c>
      <c r="B592" s="99">
        <v>122.1</v>
      </c>
      <c r="C592" s="99">
        <v>0</v>
      </c>
      <c r="D592" s="99">
        <f t="shared" si="65"/>
        <v>122.1</v>
      </c>
      <c r="E592" s="166">
        <v>100</v>
      </c>
      <c r="F592" s="179" t="s">
        <v>1254</v>
      </c>
      <c r="G592" s="156"/>
      <c r="H592" s="157"/>
    </row>
    <row r="593" s="153" customFormat="1" ht="21" customHeight="1" spans="1:8">
      <c r="A593" s="172" t="s">
        <v>1255</v>
      </c>
      <c r="B593" s="99">
        <v>57.6</v>
      </c>
      <c r="C593" s="99">
        <v>64</v>
      </c>
      <c r="D593" s="99">
        <f t="shared" si="65"/>
        <v>-6.4</v>
      </c>
      <c r="E593" s="166">
        <f t="shared" ref="E593:E617" si="67">D593/C593*100</f>
        <v>-10</v>
      </c>
      <c r="F593" s="179" t="s">
        <v>1256</v>
      </c>
      <c r="G593" s="156"/>
      <c r="H593" s="157"/>
    </row>
    <row r="594" s="153" customFormat="1" ht="18" customHeight="1" spans="1:8">
      <c r="A594" s="172" t="s">
        <v>1257</v>
      </c>
      <c r="B594" s="99">
        <v>92</v>
      </c>
      <c r="C594" s="99">
        <v>61</v>
      </c>
      <c r="D594" s="99">
        <f t="shared" si="65"/>
        <v>31</v>
      </c>
      <c r="E594" s="166">
        <f t="shared" si="67"/>
        <v>50.8196721311475</v>
      </c>
      <c r="F594" s="179" t="s">
        <v>1258</v>
      </c>
      <c r="G594" s="156"/>
      <c r="H594" s="157"/>
    </row>
    <row r="595" s="153" customFormat="1" ht="18" customHeight="1" spans="1:8">
      <c r="A595" s="172" t="s">
        <v>1259</v>
      </c>
      <c r="B595" s="99">
        <v>35</v>
      </c>
      <c r="C595" s="99">
        <v>35</v>
      </c>
      <c r="D595" s="99">
        <f t="shared" si="65"/>
        <v>0</v>
      </c>
      <c r="E595" s="166">
        <f t="shared" si="67"/>
        <v>0</v>
      </c>
      <c r="F595" s="179"/>
      <c r="G595" s="156"/>
      <c r="H595" s="157"/>
    </row>
    <row r="596" s="153" customFormat="1" ht="18" customHeight="1" spans="1:8">
      <c r="A596" s="172" t="s">
        <v>1260</v>
      </c>
      <c r="B596" s="99">
        <v>93.4</v>
      </c>
      <c r="C596" s="99">
        <v>100</v>
      </c>
      <c r="D596" s="99">
        <f t="shared" si="65"/>
        <v>-6.59999999999999</v>
      </c>
      <c r="E596" s="166">
        <f t="shared" si="67"/>
        <v>-6.59999999999999</v>
      </c>
      <c r="F596" s="179" t="s">
        <v>1261</v>
      </c>
      <c r="G596" s="156"/>
      <c r="H596" s="157"/>
    </row>
    <row r="597" s="153" customFormat="1" ht="18" customHeight="1" spans="1:8">
      <c r="A597" s="172" t="s">
        <v>1262</v>
      </c>
      <c r="B597" s="99">
        <v>107.8</v>
      </c>
      <c r="C597" s="99">
        <v>120</v>
      </c>
      <c r="D597" s="99">
        <f t="shared" si="65"/>
        <v>-12.2</v>
      </c>
      <c r="E597" s="166">
        <f t="shared" si="67"/>
        <v>-10.1666666666667</v>
      </c>
      <c r="F597" s="179" t="s">
        <v>1263</v>
      </c>
      <c r="G597" s="156"/>
      <c r="H597" s="157"/>
    </row>
    <row r="598" s="153" customFormat="1" ht="18" customHeight="1" spans="1:8">
      <c r="A598" s="172" t="s">
        <v>1264</v>
      </c>
      <c r="B598" s="99">
        <v>79</v>
      </c>
      <c r="C598" s="99">
        <v>90</v>
      </c>
      <c r="D598" s="99">
        <f>B598-C598</f>
        <v>-11</v>
      </c>
      <c r="E598" s="166">
        <f t="shared" si="67"/>
        <v>-12.2222222222222</v>
      </c>
      <c r="F598" s="179" t="s">
        <v>1265</v>
      </c>
      <c r="G598" s="156"/>
      <c r="H598" s="157"/>
    </row>
    <row r="599" s="153" customFormat="1" ht="18" customHeight="1" spans="1:8">
      <c r="A599" s="172" t="s">
        <v>1266</v>
      </c>
      <c r="B599" s="99">
        <v>79</v>
      </c>
      <c r="C599" s="99">
        <v>90</v>
      </c>
      <c r="D599" s="99">
        <f t="shared" ref="D599:D617" si="68">B599-C599</f>
        <v>-11</v>
      </c>
      <c r="E599" s="166">
        <f t="shared" si="67"/>
        <v>-12.2222222222222</v>
      </c>
      <c r="F599" s="179" t="s">
        <v>1265</v>
      </c>
      <c r="G599" s="156"/>
      <c r="H599" s="157"/>
    </row>
    <row r="600" s="153" customFormat="1" ht="18" customHeight="1" spans="1:8">
      <c r="A600" s="222" t="s">
        <v>1267</v>
      </c>
      <c r="B600" s="170">
        <v>5000</v>
      </c>
      <c r="C600" s="170">
        <v>5000</v>
      </c>
      <c r="D600" s="99">
        <f t="shared" si="68"/>
        <v>0</v>
      </c>
      <c r="E600" s="166">
        <f t="shared" si="67"/>
        <v>0</v>
      </c>
      <c r="F600" s="179" t="s">
        <v>1268</v>
      </c>
      <c r="G600" s="156"/>
      <c r="H600" s="157"/>
    </row>
    <row r="601" s="153" customFormat="1" ht="39.95" customHeight="1" spans="1:8">
      <c r="A601" s="222" t="s">
        <v>1269</v>
      </c>
      <c r="B601" s="170">
        <v>6660</v>
      </c>
      <c r="C601" s="170">
        <v>13300</v>
      </c>
      <c r="D601" s="99">
        <f t="shared" si="68"/>
        <v>-6640</v>
      </c>
      <c r="E601" s="166">
        <f t="shared" si="67"/>
        <v>-49.9248120300752</v>
      </c>
      <c r="F601" s="173" t="s">
        <v>1270</v>
      </c>
      <c r="G601" s="156"/>
      <c r="H601" s="157"/>
    </row>
    <row r="602" s="153" customFormat="1" ht="18" customHeight="1" spans="1:8">
      <c r="A602" s="214" t="s">
        <v>1271</v>
      </c>
      <c r="B602" s="170">
        <f>B603+B604+B617</f>
        <v>1572</v>
      </c>
      <c r="C602" s="170">
        <f>C603+C604+C617</f>
        <v>1570</v>
      </c>
      <c r="D602" s="99">
        <f t="shared" si="68"/>
        <v>2</v>
      </c>
      <c r="E602" s="166">
        <f t="shared" si="67"/>
        <v>0.127388535031847</v>
      </c>
      <c r="F602" s="179"/>
      <c r="G602" s="156"/>
      <c r="H602" s="157"/>
    </row>
    <row r="603" s="153" customFormat="1" ht="18" customHeight="1" spans="1:8">
      <c r="A603" s="172" t="s">
        <v>1272</v>
      </c>
      <c r="B603" s="99">
        <v>1258</v>
      </c>
      <c r="C603" s="99">
        <v>1236</v>
      </c>
      <c r="D603" s="99">
        <f t="shared" si="68"/>
        <v>22</v>
      </c>
      <c r="E603" s="166">
        <f t="shared" si="67"/>
        <v>1.77993527508091</v>
      </c>
      <c r="F603" s="179"/>
      <c r="G603" s="156"/>
      <c r="H603" s="157"/>
    </row>
    <row r="604" s="153" customFormat="1" ht="18" customHeight="1" spans="1:8">
      <c r="A604" s="172" t="s">
        <v>1273</v>
      </c>
      <c r="B604" s="99">
        <f>SUM(B605:B616)</f>
        <v>266</v>
      </c>
      <c r="C604" s="99">
        <f>SUM(C605:C616)</f>
        <v>274</v>
      </c>
      <c r="D604" s="99">
        <f t="shared" si="68"/>
        <v>-8</v>
      </c>
      <c r="E604" s="166">
        <f t="shared" si="67"/>
        <v>-2.91970802919708</v>
      </c>
      <c r="F604" s="221"/>
      <c r="G604" s="156"/>
      <c r="H604" s="157"/>
    </row>
    <row r="605" s="153" customFormat="1" ht="18" customHeight="1" spans="1:8">
      <c r="A605" s="172" t="s">
        <v>1274</v>
      </c>
      <c r="B605" s="99">
        <v>12</v>
      </c>
      <c r="C605" s="99">
        <v>12</v>
      </c>
      <c r="D605" s="99">
        <f t="shared" si="68"/>
        <v>0</v>
      </c>
      <c r="E605" s="166">
        <f t="shared" si="67"/>
        <v>0</v>
      </c>
      <c r="F605" s="221"/>
      <c r="G605" s="156"/>
      <c r="H605" s="157"/>
    </row>
    <row r="606" s="153" customFormat="1" ht="18" customHeight="1" spans="1:8">
      <c r="A606" s="172" t="s">
        <v>1275</v>
      </c>
      <c r="B606" s="99">
        <v>30</v>
      </c>
      <c r="C606" s="99">
        <v>30</v>
      </c>
      <c r="D606" s="99">
        <f t="shared" si="68"/>
        <v>0</v>
      </c>
      <c r="E606" s="166">
        <f t="shared" si="67"/>
        <v>0</v>
      </c>
      <c r="F606" s="221"/>
      <c r="G606" s="156"/>
      <c r="H606" s="157"/>
    </row>
    <row r="607" s="153" customFormat="1" ht="18" customHeight="1" spans="1:8">
      <c r="A607" s="172" t="s">
        <v>1276</v>
      </c>
      <c r="B607" s="99">
        <v>7.5</v>
      </c>
      <c r="C607" s="99">
        <v>7.5</v>
      </c>
      <c r="D607" s="99">
        <f t="shared" si="68"/>
        <v>0</v>
      </c>
      <c r="E607" s="166">
        <f t="shared" si="67"/>
        <v>0</v>
      </c>
      <c r="F607" s="221"/>
      <c r="G607" s="156"/>
      <c r="H607" s="157"/>
    </row>
    <row r="608" s="153" customFormat="1" ht="18" customHeight="1" spans="1:8">
      <c r="A608" s="172" t="s">
        <v>1277</v>
      </c>
      <c r="B608" s="99">
        <v>7.5</v>
      </c>
      <c r="C608" s="99">
        <v>7.5</v>
      </c>
      <c r="D608" s="99">
        <f t="shared" si="68"/>
        <v>0</v>
      </c>
      <c r="E608" s="166">
        <f t="shared" si="67"/>
        <v>0</v>
      </c>
      <c r="F608" s="221"/>
      <c r="G608" s="156"/>
      <c r="H608" s="157"/>
    </row>
    <row r="609" s="153" customFormat="1" ht="18" customHeight="1" spans="1:8">
      <c r="A609" s="172" t="s">
        <v>1278</v>
      </c>
      <c r="B609" s="99">
        <v>70</v>
      </c>
      <c r="C609" s="99">
        <v>70</v>
      </c>
      <c r="D609" s="99">
        <f t="shared" si="68"/>
        <v>0</v>
      </c>
      <c r="E609" s="166">
        <f t="shared" si="67"/>
        <v>0</v>
      </c>
      <c r="F609" s="221"/>
      <c r="G609" s="156"/>
      <c r="H609" s="157"/>
    </row>
    <row r="610" s="153" customFormat="1" ht="18" customHeight="1" spans="1:8">
      <c r="A610" s="172" t="s">
        <v>1279</v>
      </c>
      <c r="B610" s="99">
        <v>30</v>
      </c>
      <c r="C610" s="99">
        <v>30</v>
      </c>
      <c r="D610" s="99">
        <f t="shared" si="68"/>
        <v>0</v>
      </c>
      <c r="E610" s="166">
        <f t="shared" si="67"/>
        <v>0</v>
      </c>
      <c r="F610" s="221"/>
      <c r="G610" s="156"/>
      <c r="H610" s="157"/>
    </row>
    <row r="611" ht="18" customHeight="1" spans="1:8">
      <c r="A611" s="172" t="s">
        <v>1280</v>
      </c>
      <c r="B611" s="99">
        <v>10</v>
      </c>
      <c r="C611" s="99">
        <v>10</v>
      </c>
      <c r="D611" s="99">
        <f t="shared" si="68"/>
        <v>0</v>
      </c>
      <c r="E611" s="166">
        <f t="shared" si="67"/>
        <v>0</v>
      </c>
      <c r="F611" s="221"/>
    </row>
    <row r="612" ht="18" customHeight="1" spans="1:8">
      <c r="A612" s="172" t="s">
        <v>1281</v>
      </c>
      <c r="B612" s="99">
        <v>4</v>
      </c>
      <c r="C612" s="99">
        <v>4</v>
      </c>
      <c r="D612" s="99">
        <f t="shared" si="68"/>
        <v>0</v>
      </c>
      <c r="E612" s="166">
        <f t="shared" si="67"/>
        <v>0</v>
      </c>
      <c r="F612" s="221" t="s">
        <v>1282</v>
      </c>
    </row>
    <row r="613" ht="18" customHeight="1" spans="1:8">
      <c r="A613" s="172" t="s">
        <v>1283</v>
      </c>
      <c r="B613" s="99">
        <v>4</v>
      </c>
      <c r="C613" s="99">
        <v>4</v>
      </c>
      <c r="D613" s="99">
        <f t="shared" si="68"/>
        <v>0</v>
      </c>
      <c r="E613" s="166">
        <f t="shared" si="67"/>
        <v>0</v>
      </c>
      <c r="F613" s="221"/>
    </row>
    <row r="614" ht="18" customHeight="1" spans="1:8">
      <c r="A614" s="172" t="s">
        <v>1284</v>
      </c>
      <c r="B614" s="99">
        <v>66</v>
      </c>
      <c r="C614" s="99">
        <v>66</v>
      </c>
      <c r="D614" s="99">
        <f t="shared" si="68"/>
        <v>0</v>
      </c>
      <c r="E614" s="166">
        <f t="shared" si="67"/>
        <v>0</v>
      </c>
      <c r="F614" s="221" t="s">
        <v>1285</v>
      </c>
      <c r="G614" s="156" t="s">
        <v>1286</v>
      </c>
    </row>
    <row r="615" ht="18" customHeight="1" spans="1:8">
      <c r="A615" s="172" t="s">
        <v>1287</v>
      </c>
      <c r="B615" s="99"/>
      <c r="C615" s="99">
        <v>8</v>
      </c>
      <c r="D615" s="99">
        <f t="shared" si="68"/>
        <v>-8</v>
      </c>
      <c r="E615" s="166">
        <f t="shared" si="67"/>
        <v>-100</v>
      </c>
      <c r="F615" s="221" t="s">
        <v>1288</v>
      </c>
      <c r="H615" s="157">
        <v>8</v>
      </c>
    </row>
    <row r="616" ht="29.1" customHeight="1" spans="1:8">
      <c r="A616" s="172" t="s">
        <v>1289</v>
      </c>
      <c r="B616" s="99">
        <v>25</v>
      </c>
      <c r="C616" s="99">
        <v>25</v>
      </c>
      <c r="D616" s="99">
        <f t="shared" si="68"/>
        <v>0</v>
      </c>
      <c r="E616" s="166">
        <f t="shared" si="67"/>
        <v>0</v>
      </c>
      <c r="F616" s="221" t="s">
        <v>1290</v>
      </c>
    </row>
    <row r="617" ht="18" customHeight="1" spans="1:8">
      <c r="A617" s="172" t="s">
        <v>1291</v>
      </c>
      <c r="B617" s="99">
        <f>C617*0.8</f>
        <v>48</v>
      </c>
      <c r="C617" s="99">
        <v>60</v>
      </c>
      <c r="D617" s="99">
        <f t="shared" si="68"/>
        <v>-12</v>
      </c>
      <c r="E617" s="166">
        <f t="shared" si="67"/>
        <v>-20</v>
      </c>
      <c r="F617" s="221"/>
      <c r="H617" s="157">
        <v>12</v>
      </c>
    </row>
  </sheetData>
  <mergeCells count="2">
    <mergeCell ref="A1:F1"/>
    <mergeCell ref="G100:G101"/>
  </mergeCells>
  <pageMargins left="0.786805555555556" right="0.118055555555556" top="0.511805555555556" bottom="0.393055555555556" header="0.15625" footer="0.0777777777777778"/>
  <pageSetup paperSize="9" scale="78"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workbookViewId="0">
      <selection activeCell="C11" sqref="C11"/>
    </sheetView>
  </sheetViews>
  <sheetFormatPr defaultColWidth="9" defaultRowHeight="14.25" outlineLevelCol="4"/>
  <cols>
    <col min="1" max="1" width="31.25" customWidth="1"/>
    <col min="2" max="2" width="19.25" customWidth="1"/>
    <col min="3" max="3" width="22" customWidth="1"/>
    <col min="4" max="4" width="16" customWidth="1"/>
  </cols>
  <sheetData>
    <row r="1" ht="25.5" spans="1:5">
      <c r="A1" s="137" t="s">
        <v>1292</v>
      </c>
      <c r="B1" s="137"/>
      <c r="C1" s="137"/>
      <c r="D1" s="137"/>
    </row>
    <row r="2" ht="21.95" customHeight="1" spans="1:5">
      <c r="A2" s="138"/>
      <c r="B2" s="139"/>
      <c r="C2" s="140" t="s">
        <v>1293</v>
      </c>
      <c r="D2" s="140"/>
    </row>
    <row r="3" ht="26.1" customHeight="1" spans="1:5">
      <c r="A3" s="141" t="s">
        <v>1294</v>
      </c>
      <c r="B3" s="141" t="s">
        <v>1295</v>
      </c>
      <c r="C3" s="141" t="s">
        <v>1296</v>
      </c>
      <c r="D3" s="141" t="s">
        <v>1297</v>
      </c>
    </row>
    <row r="4" ht="26.1" customHeight="1" spans="1:5">
      <c r="A4" s="142" t="s">
        <v>1298</v>
      </c>
      <c r="B4" s="143">
        <v>835</v>
      </c>
      <c r="C4" s="143"/>
      <c r="D4" s="143">
        <f t="shared" ref="D4:D23" si="0">B4+C4</f>
        <v>835</v>
      </c>
    </row>
    <row r="5" ht="26.1" customHeight="1" spans="1:5">
      <c r="A5" s="144" t="s">
        <v>1299</v>
      </c>
      <c r="B5" s="145">
        <v>30</v>
      </c>
      <c r="C5" s="145">
        <v>1151</v>
      </c>
      <c r="D5" s="143">
        <f t="shared" si="0"/>
        <v>1181</v>
      </c>
    </row>
    <row r="6" ht="26.1" customHeight="1" spans="1:5">
      <c r="A6" s="144" t="s">
        <v>1300</v>
      </c>
      <c r="B6" s="145">
        <v>316</v>
      </c>
      <c r="C6" s="145">
        <v>14426</v>
      </c>
      <c r="D6" s="143">
        <f t="shared" si="0"/>
        <v>14742</v>
      </c>
    </row>
    <row r="7" ht="26.1" customHeight="1" spans="1:5">
      <c r="A7" s="144" t="s">
        <v>1301</v>
      </c>
      <c r="B7" s="145">
        <v>692</v>
      </c>
      <c r="C7" s="145">
        <v>50</v>
      </c>
      <c r="D7" s="143">
        <f t="shared" si="0"/>
        <v>742</v>
      </c>
    </row>
    <row r="8" ht="26.1" customHeight="1" spans="1:5">
      <c r="A8" s="144" t="s">
        <v>1302</v>
      </c>
      <c r="B8" s="145">
        <v>192</v>
      </c>
      <c r="C8" s="145">
        <v>678</v>
      </c>
      <c r="D8" s="143">
        <f t="shared" si="0"/>
        <v>870</v>
      </c>
    </row>
    <row r="9" ht="26.1" customHeight="1" spans="1:5">
      <c r="A9" s="144" t="s">
        <v>1303</v>
      </c>
      <c r="B9" s="143">
        <v>480</v>
      </c>
      <c r="C9" s="143">
        <v>29191</v>
      </c>
      <c r="D9" s="143">
        <f t="shared" si="0"/>
        <v>29671</v>
      </c>
    </row>
    <row r="10" ht="26.1" customHeight="1" spans="1:5">
      <c r="A10" s="144" t="s">
        <v>1304</v>
      </c>
      <c r="B10" s="143">
        <v>653</v>
      </c>
      <c r="C10" s="143">
        <v>32867</v>
      </c>
      <c r="D10" s="143">
        <f t="shared" si="0"/>
        <v>33520</v>
      </c>
    </row>
    <row r="11" ht="26.1" customHeight="1" spans="1:5">
      <c r="A11" s="144" t="s">
        <v>1305</v>
      </c>
      <c r="B11" s="143">
        <v>3654</v>
      </c>
      <c r="C11" s="143">
        <v>390</v>
      </c>
      <c r="D11" s="143">
        <f t="shared" si="0"/>
        <v>4044</v>
      </c>
    </row>
    <row r="12" ht="26.1" customHeight="1" spans="1:5">
      <c r="A12" s="146" t="s">
        <v>1306</v>
      </c>
      <c r="B12" s="147">
        <v>40</v>
      </c>
      <c r="C12" s="147"/>
      <c r="D12" s="143">
        <f t="shared" si="0"/>
        <v>40</v>
      </c>
    </row>
    <row r="13" ht="26.1" customHeight="1" spans="1:5">
      <c r="A13" s="148" t="s">
        <v>1307</v>
      </c>
      <c r="B13" s="143">
        <v>13859</v>
      </c>
      <c r="C13" s="143">
        <v>32986</v>
      </c>
      <c r="D13" s="143">
        <f t="shared" si="0"/>
        <v>46845</v>
      </c>
      <c r="E13" t="s">
        <v>1308</v>
      </c>
    </row>
    <row r="14" ht="26.1" customHeight="1" spans="1:5">
      <c r="A14" s="144" t="s">
        <v>1309</v>
      </c>
      <c r="B14" s="143">
        <v>904</v>
      </c>
      <c r="C14" s="143">
        <v>7383</v>
      </c>
      <c r="D14" s="143">
        <f t="shared" si="0"/>
        <v>8287</v>
      </c>
    </row>
    <row r="15" ht="26.1" customHeight="1" spans="1:5">
      <c r="A15" s="144" t="s">
        <v>1310</v>
      </c>
      <c r="B15" s="145">
        <v>204</v>
      </c>
      <c r="C15" s="145"/>
      <c r="D15" s="143">
        <f t="shared" si="0"/>
        <v>204</v>
      </c>
    </row>
    <row r="16" ht="26.1" customHeight="1" spans="1:5">
      <c r="A16" s="144" t="s">
        <v>1311</v>
      </c>
      <c r="B16" s="143">
        <v>868</v>
      </c>
      <c r="C16" s="143"/>
      <c r="D16" s="143">
        <f t="shared" si="0"/>
        <v>868</v>
      </c>
    </row>
    <row r="17" ht="26.1" customHeight="1" spans="1:4">
      <c r="A17" s="148" t="s">
        <v>1312</v>
      </c>
      <c r="B17" s="145">
        <v>489</v>
      </c>
      <c r="C17" s="145"/>
      <c r="D17" s="143">
        <f t="shared" si="0"/>
        <v>489</v>
      </c>
    </row>
    <row r="18" ht="26.1" customHeight="1" spans="1:4">
      <c r="A18" s="148" t="s">
        <v>1313</v>
      </c>
      <c r="B18" s="145">
        <v>12</v>
      </c>
      <c r="C18" s="145"/>
      <c r="D18" s="143">
        <f t="shared" si="0"/>
        <v>12</v>
      </c>
    </row>
    <row r="19" ht="26.1" customHeight="1" spans="1:4">
      <c r="A19" s="148" t="s">
        <v>1314</v>
      </c>
      <c r="B19" s="145">
        <v>1190</v>
      </c>
      <c r="C19" s="145">
        <v>3209</v>
      </c>
      <c r="D19" s="143">
        <f t="shared" si="0"/>
        <v>4399</v>
      </c>
    </row>
    <row r="20" ht="26.1" customHeight="1" spans="1:4">
      <c r="A20" s="148" t="s">
        <v>1315</v>
      </c>
      <c r="B20" s="145">
        <v>26</v>
      </c>
      <c r="C20" s="145">
        <v>190</v>
      </c>
      <c r="D20" s="143">
        <f t="shared" si="0"/>
        <v>216</v>
      </c>
    </row>
    <row r="21" ht="26.1" customHeight="1" spans="1:4">
      <c r="A21" s="148" t="s">
        <v>1316</v>
      </c>
      <c r="B21" s="145">
        <v>262</v>
      </c>
      <c r="C21" s="145">
        <v>327</v>
      </c>
      <c r="D21" s="143">
        <f t="shared" si="0"/>
        <v>589</v>
      </c>
    </row>
    <row r="22" ht="26.1" customHeight="1" spans="1:4">
      <c r="A22" s="148" t="s">
        <v>1317</v>
      </c>
      <c r="B22" s="145"/>
      <c r="C22" s="145">
        <v>1423</v>
      </c>
      <c r="D22" s="143">
        <f t="shared" si="0"/>
        <v>1423</v>
      </c>
    </row>
    <row r="23" ht="26.1" customHeight="1" spans="1:4">
      <c r="A23" s="149" t="s">
        <v>1318</v>
      </c>
      <c r="B23" s="145">
        <f>SUM(B4:B22)</f>
        <v>24706</v>
      </c>
      <c r="C23" s="145">
        <f>SUM(C4:C22)</f>
        <v>124271</v>
      </c>
      <c r="D23" s="143">
        <f t="shared" si="0"/>
        <v>148977</v>
      </c>
    </row>
    <row r="24" ht="18.75" spans="1:4">
      <c r="A24" s="150"/>
      <c r="B24" s="151"/>
      <c r="C24" s="151"/>
      <c r="D24" s="151"/>
    </row>
  </sheetData>
  <mergeCells count="2">
    <mergeCell ref="A1:D1"/>
    <mergeCell ref="C2:D2"/>
  </mergeCells>
  <pageMargins left="0.629166666666667" right="0.313888888888889" top="1.18055555555556" bottom="0.511805555555556" header="0.297916666666667" footer="0.297916666666667"/>
  <pageSetup paperSize="9" scale="9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xSplit="1" ySplit="4" topLeftCell="B11" activePane="bottomRight" state="frozen"/>
      <selection/>
      <selection pane="topRight"/>
      <selection pane="bottomLeft"/>
      <selection pane="bottomRight" activeCell="N24" sqref="N24"/>
    </sheetView>
  </sheetViews>
  <sheetFormatPr defaultColWidth="9" defaultRowHeight="14.25"/>
  <cols>
    <col min="1" max="1" width="37.375" customWidth="1"/>
    <col min="2" max="2" width="9" customWidth="1"/>
    <col min="3" max="3" width="8.75" customWidth="1"/>
    <col min="4" max="4" width="8.125" customWidth="1"/>
    <col min="5" max="5" width="8.5" customWidth="1"/>
    <col min="6" max="6" width="39" customWidth="1"/>
    <col min="7" max="8" width="8.625" customWidth="1"/>
    <col min="9" max="9" width="8" customWidth="1"/>
    <col min="10" max="10" width="8.5" customWidth="1"/>
  </cols>
  <sheetData>
    <row r="1" ht="25.5" spans="1:10">
      <c r="A1" s="83" t="s">
        <v>1319</v>
      </c>
      <c r="B1" s="83"/>
      <c r="C1" s="83"/>
      <c r="D1" s="83"/>
      <c r="E1" s="83"/>
      <c r="F1" s="83"/>
      <c r="G1" s="83"/>
      <c r="H1" s="83"/>
      <c r="I1" s="83"/>
      <c r="J1" s="83"/>
    </row>
    <row r="2" ht="15.75" spans="1:10">
      <c r="A2" s="84"/>
      <c r="B2" s="85"/>
      <c r="C2" s="85"/>
      <c r="D2" s="106"/>
      <c r="E2" s="86"/>
      <c r="F2" s="86"/>
      <c r="G2" s="86"/>
      <c r="H2" s="86"/>
      <c r="I2" s="107" t="s">
        <v>1</v>
      </c>
      <c r="J2" s="107"/>
    </row>
    <row r="3" ht="18.75" spans="1:10">
      <c r="A3" s="108" t="s">
        <v>1320</v>
      </c>
      <c r="B3" s="109"/>
      <c r="C3" s="109"/>
      <c r="D3" s="109"/>
      <c r="E3" s="110"/>
      <c r="F3" s="88" t="s">
        <v>1321</v>
      </c>
      <c r="G3" s="88"/>
      <c r="H3" s="88"/>
      <c r="I3" s="88"/>
      <c r="J3" s="88"/>
    </row>
    <row r="4" ht="48" customHeight="1" spans="1:10">
      <c r="A4" s="111" t="s">
        <v>1322</v>
      </c>
      <c r="B4" s="92" t="s">
        <v>5</v>
      </c>
      <c r="C4" s="92" t="s">
        <v>1323</v>
      </c>
      <c r="D4" s="92" t="s">
        <v>1324</v>
      </c>
      <c r="E4" s="92" t="s">
        <v>1325</v>
      </c>
      <c r="F4" s="111" t="s">
        <v>1322</v>
      </c>
      <c r="G4" s="92" t="s">
        <v>5</v>
      </c>
      <c r="H4" s="92" t="s">
        <v>1323</v>
      </c>
      <c r="I4" s="92" t="s">
        <v>1324</v>
      </c>
      <c r="J4" s="112" t="s">
        <v>1325</v>
      </c>
    </row>
    <row r="5" ht="18" customHeight="1" spans="1:10">
      <c r="A5" s="113" t="s">
        <v>1326</v>
      </c>
      <c r="B5" s="114"/>
      <c r="C5" s="114"/>
      <c r="D5" s="115"/>
      <c r="E5" s="116"/>
      <c r="F5" s="117" t="s">
        <v>1327</v>
      </c>
      <c r="G5" s="118">
        <v>2000</v>
      </c>
      <c r="H5" s="119">
        <v>2000</v>
      </c>
      <c r="I5" s="114"/>
      <c r="J5" s="120"/>
    </row>
    <row r="6" ht="18" customHeight="1" spans="1:10">
      <c r="A6" s="121" t="s">
        <v>1328</v>
      </c>
      <c r="B6" s="114"/>
      <c r="C6" s="114"/>
      <c r="D6" s="115"/>
      <c r="E6" s="116"/>
      <c r="F6" s="117" t="s">
        <v>1329</v>
      </c>
      <c r="G6" s="114">
        <v>2000</v>
      </c>
      <c r="H6" s="114">
        <v>2000</v>
      </c>
      <c r="I6" s="114"/>
      <c r="J6" s="120"/>
    </row>
    <row r="7" ht="18" customHeight="1" spans="1:10">
      <c r="A7" s="121" t="s">
        <v>1330</v>
      </c>
      <c r="B7" s="114"/>
      <c r="C7" s="114"/>
      <c r="D7" s="115"/>
      <c r="E7" s="116"/>
      <c r="F7" s="122" t="s">
        <v>1331</v>
      </c>
      <c r="G7" s="123">
        <v>1900</v>
      </c>
      <c r="H7" s="123">
        <v>1500</v>
      </c>
      <c r="I7" s="114">
        <f>G7-H7</f>
        <v>400</v>
      </c>
      <c r="J7" s="120">
        <f>I7/H7*100</f>
        <v>26.6666666666667</v>
      </c>
    </row>
    <row r="8" ht="18" customHeight="1" spans="1:10">
      <c r="A8" s="124" t="s">
        <v>1332</v>
      </c>
      <c r="B8" s="114"/>
      <c r="C8" s="114"/>
      <c r="D8" s="115"/>
      <c r="E8" s="116"/>
      <c r="F8" s="117" t="s">
        <v>1333</v>
      </c>
      <c r="G8" s="114">
        <v>1900</v>
      </c>
      <c r="H8" s="114">
        <v>1500</v>
      </c>
      <c r="I8" s="114">
        <f>G8-H8</f>
        <v>400</v>
      </c>
      <c r="J8" s="120">
        <f>I8/H8*100</f>
        <v>26.6666666666667</v>
      </c>
    </row>
    <row r="9" ht="18" customHeight="1" spans="1:10">
      <c r="A9" s="113" t="s">
        <v>1334</v>
      </c>
      <c r="B9" s="114"/>
      <c r="C9" s="114"/>
      <c r="D9" s="115"/>
      <c r="E9" s="116"/>
      <c r="F9" s="117" t="s">
        <v>1335</v>
      </c>
      <c r="G9" s="114"/>
      <c r="H9" s="114"/>
      <c r="I9" s="114"/>
      <c r="J9" s="120"/>
    </row>
    <row r="10" ht="18" customHeight="1" spans="1:10">
      <c r="A10" s="113" t="s">
        <v>1336</v>
      </c>
      <c r="B10" s="114"/>
      <c r="C10" s="114"/>
      <c r="D10" s="115"/>
      <c r="E10" s="116"/>
      <c r="F10" s="89" t="s">
        <v>1337</v>
      </c>
      <c r="G10" s="125"/>
      <c r="H10" s="125"/>
      <c r="I10" s="114"/>
      <c r="J10" s="120"/>
    </row>
    <row r="11" ht="18" customHeight="1" spans="1:10">
      <c r="A11" s="113" t="s">
        <v>1338</v>
      </c>
      <c r="B11" s="114">
        <v>100000</v>
      </c>
      <c r="C11" s="114">
        <v>100000</v>
      </c>
      <c r="D11" s="115">
        <f>B11-C11</f>
        <v>0</v>
      </c>
      <c r="E11" s="116">
        <f>D11/C11*100</f>
        <v>0</v>
      </c>
      <c r="F11" s="113" t="s">
        <v>1339</v>
      </c>
      <c r="G11" s="89"/>
      <c r="H11" s="89"/>
      <c r="I11" s="89"/>
      <c r="J11" s="89"/>
    </row>
    <row r="12" ht="18" customHeight="1" spans="1:10">
      <c r="A12" s="113" t="s">
        <v>1340</v>
      </c>
      <c r="B12" s="114"/>
      <c r="C12" s="114"/>
      <c r="D12" s="115"/>
      <c r="E12" s="116"/>
      <c r="F12" s="117" t="s">
        <v>1341</v>
      </c>
      <c r="G12" s="114">
        <f>G13+G23+G24</f>
        <v>91356</v>
      </c>
      <c r="H12" s="114">
        <f>H13+H23+H24</f>
        <v>76100</v>
      </c>
      <c r="I12" s="114">
        <f>G12-H12</f>
        <v>15256</v>
      </c>
      <c r="J12" s="126">
        <f t="shared" ref="J12:J21" si="0">I12/H12*100</f>
        <v>20.0473061760841</v>
      </c>
    </row>
    <row r="13" ht="18" customHeight="1" spans="1:10">
      <c r="A13" s="113" t="s">
        <v>1342</v>
      </c>
      <c r="B13" s="114"/>
      <c r="C13" s="114"/>
      <c r="D13" s="115"/>
      <c r="E13" s="116"/>
      <c r="F13" s="114" t="s">
        <v>1343</v>
      </c>
      <c r="G13" s="114">
        <f>SUM(G14:G22)</f>
        <v>88956</v>
      </c>
      <c r="H13" s="114">
        <f>SUM(H14:H22)</f>
        <v>73700</v>
      </c>
      <c r="I13" s="114">
        <f t="shared" ref="I13:I27" si="1">G13-H13</f>
        <v>15256</v>
      </c>
      <c r="J13" s="126">
        <f t="shared" si="0"/>
        <v>20.7001356852103</v>
      </c>
    </row>
    <row r="14" ht="18" customHeight="1" spans="1:10">
      <c r="A14" s="113" t="s">
        <v>1344</v>
      </c>
      <c r="B14" s="114">
        <v>2000</v>
      </c>
      <c r="C14" s="114">
        <v>2000</v>
      </c>
      <c r="D14" s="115">
        <f>B14-C14</f>
        <v>0</v>
      </c>
      <c r="E14" s="116">
        <f>D14/C14*100</f>
        <v>0</v>
      </c>
      <c r="F14" s="114" t="s">
        <v>1345</v>
      </c>
      <c r="G14" s="94">
        <v>15000</v>
      </c>
      <c r="H14" s="94">
        <v>15000</v>
      </c>
      <c r="I14" s="114">
        <f t="shared" si="1"/>
        <v>0</v>
      </c>
      <c r="J14" s="126">
        <f t="shared" si="0"/>
        <v>0</v>
      </c>
    </row>
    <row r="15" ht="18" customHeight="1" spans="1:10">
      <c r="A15" s="113" t="s">
        <v>1346</v>
      </c>
      <c r="B15" s="114"/>
      <c r="C15" s="114"/>
      <c r="D15" s="115"/>
      <c r="E15" s="116"/>
      <c r="F15" s="127" t="s">
        <v>1347</v>
      </c>
      <c r="G15" s="128">
        <v>1000</v>
      </c>
      <c r="H15" s="128">
        <v>1000</v>
      </c>
      <c r="I15" s="114">
        <f t="shared" si="1"/>
        <v>0</v>
      </c>
      <c r="J15" s="126">
        <f t="shared" si="0"/>
        <v>0</v>
      </c>
    </row>
    <row r="16" ht="18" customHeight="1" spans="1:10">
      <c r="A16" s="113" t="s">
        <v>1348</v>
      </c>
      <c r="B16" s="114"/>
      <c r="C16" s="114"/>
      <c r="D16" s="115"/>
      <c r="E16" s="116"/>
      <c r="F16" s="127" t="s">
        <v>1349</v>
      </c>
      <c r="G16" s="128">
        <v>5000</v>
      </c>
      <c r="H16" s="128">
        <v>5000</v>
      </c>
      <c r="I16" s="114">
        <f t="shared" si="1"/>
        <v>0</v>
      </c>
      <c r="J16" s="126">
        <f t="shared" si="0"/>
        <v>0</v>
      </c>
    </row>
    <row r="17" ht="18" customHeight="1" spans="1:10">
      <c r="A17" s="113" t="s">
        <v>1350</v>
      </c>
      <c r="B17" s="114"/>
      <c r="C17" s="114"/>
      <c r="D17" s="115"/>
      <c r="E17" s="116"/>
      <c r="F17" s="117" t="s">
        <v>1351</v>
      </c>
      <c r="G17" s="94">
        <v>10356</v>
      </c>
      <c r="H17" s="94">
        <v>10000</v>
      </c>
      <c r="I17" s="114">
        <f t="shared" si="1"/>
        <v>356</v>
      </c>
      <c r="J17" s="126">
        <f t="shared" si="0"/>
        <v>3.56</v>
      </c>
    </row>
    <row r="18" ht="18" customHeight="1" spans="1:10">
      <c r="A18" s="113" t="s">
        <v>1352</v>
      </c>
      <c r="B18" s="114">
        <v>400</v>
      </c>
      <c r="C18" s="114">
        <v>400</v>
      </c>
      <c r="D18" s="115">
        <f>B18-C18</f>
        <v>0</v>
      </c>
      <c r="E18" s="116">
        <f>D18/C18*100</f>
        <v>0</v>
      </c>
      <c r="F18" s="129" t="s">
        <v>1353</v>
      </c>
      <c r="G18" s="94">
        <v>14000</v>
      </c>
      <c r="H18" s="94">
        <v>8000</v>
      </c>
      <c r="I18" s="114">
        <f t="shared" si="1"/>
        <v>6000</v>
      </c>
      <c r="J18" s="126">
        <f t="shared" si="0"/>
        <v>75</v>
      </c>
    </row>
    <row r="19" ht="18" customHeight="1" spans="1:10">
      <c r="A19" s="130" t="s">
        <v>1354</v>
      </c>
      <c r="B19" s="114"/>
      <c r="C19" s="114"/>
      <c r="D19" s="115"/>
      <c r="E19" s="116"/>
      <c r="F19" s="114" t="s">
        <v>1355</v>
      </c>
      <c r="G19" s="131">
        <v>10700</v>
      </c>
      <c r="H19" s="131">
        <v>10700</v>
      </c>
      <c r="I19" s="114">
        <f t="shared" si="1"/>
        <v>0</v>
      </c>
      <c r="J19" s="126">
        <f t="shared" si="0"/>
        <v>0</v>
      </c>
    </row>
    <row r="20" ht="18" customHeight="1" spans="1:10">
      <c r="A20" s="132" t="s">
        <v>1356</v>
      </c>
      <c r="B20" s="114">
        <v>600</v>
      </c>
      <c r="C20" s="114">
        <v>600</v>
      </c>
      <c r="D20" s="115">
        <f>B20-C20</f>
        <v>0</v>
      </c>
      <c r="E20" s="116">
        <f>D20/C20*100</f>
        <v>0</v>
      </c>
      <c r="F20" s="117" t="s">
        <v>1357</v>
      </c>
      <c r="G20" s="94">
        <v>20574</v>
      </c>
      <c r="H20" s="94">
        <v>14520</v>
      </c>
      <c r="I20" s="114">
        <f t="shared" si="1"/>
        <v>6054</v>
      </c>
      <c r="J20" s="126">
        <f t="shared" si="0"/>
        <v>41.6942148760331</v>
      </c>
    </row>
    <row r="21" ht="18" customHeight="1" spans="1:10">
      <c r="A21" s="132" t="s">
        <v>1358</v>
      </c>
      <c r="B21" s="114"/>
      <c r="C21" s="114"/>
      <c r="D21" s="115"/>
      <c r="E21" s="116"/>
      <c r="F21" s="114" t="s">
        <v>1359</v>
      </c>
      <c r="G21" s="94">
        <v>9326</v>
      </c>
      <c r="H21" s="94">
        <v>6480</v>
      </c>
      <c r="I21" s="114">
        <f t="shared" si="1"/>
        <v>2846</v>
      </c>
      <c r="J21" s="126">
        <f t="shared" si="0"/>
        <v>43.9197530864198</v>
      </c>
    </row>
    <row r="22" ht="18" customHeight="1" spans="1:10">
      <c r="A22" s="89"/>
      <c r="B22" s="89"/>
      <c r="C22" s="89"/>
      <c r="D22" s="89"/>
      <c r="E22" s="89"/>
      <c r="F22" s="127" t="s">
        <v>1360</v>
      </c>
      <c r="G22" s="94">
        <v>3000</v>
      </c>
      <c r="H22" s="94">
        <v>3000</v>
      </c>
      <c r="I22" s="114">
        <f t="shared" si="1"/>
        <v>0</v>
      </c>
      <c r="J22" s="126">
        <f t="shared" ref="J22:J27" si="2">I22/H22*100</f>
        <v>0</v>
      </c>
    </row>
    <row r="23" ht="18" customHeight="1" spans="1:10">
      <c r="A23" s="117"/>
      <c r="B23" s="114"/>
      <c r="C23" s="114"/>
      <c r="D23" s="115"/>
      <c r="E23" s="116"/>
      <c r="F23" s="133" t="s">
        <v>1361</v>
      </c>
      <c r="G23" s="114">
        <v>2000</v>
      </c>
      <c r="H23" s="114">
        <v>2000</v>
      </c>
      <c r="I23" s="114">
        <f t="shared" si="1"/>
        <v>0</v>
      </c>
      <c r="J23" s="126">
        <f t="shared" si="2"/>
        <v>0</v>
      </c>
    </row>
    <row r="24" ht="18" customHeight="1" spans="1:10">
      <c r="A24" s="117"/>
      <c r="B24" s="114"/>
      <c r="C24" s="114"/>
      <c r="D24" s="115"/>
      <c r="E24" s="116"/>
      <c r="F24" s="133" t="s">
        <v>1362</v>
      </c>
      <c r="G24" s="114">
        <v>400</v>
      </c>
      <c r="H24" s="114">
        <v>400</v>
      </c>
      <c r="I24" s="114">
        <f t="shared" si="1"/>
        <v>0</v>
      </c>
      <c r="J24" s="126">
        <f t="shared" si="2"/>
        <v>0</v>
      </c>
    </row>
    <row r="25" ht="18" customHeight="1" spans="1:10">
      <c r="A25" s="117"/>
      <c r="B25" s="114"/>
      <c r="C25" s="114"/>
      <c r="D25" s="115"/>
      <c r="E25" s="116"/>
      <c r="F25" s="134" t="s">
        <v>1363</v>
      </c>
      <c r="G25" s="99">
        <v>1000</v>
      </c>
      <c r="H25" s="99">
        <v>400</v>
      </c>
      <c r="I25" s="99">
        <f t="shared" si="1"/>
        <v>600</v>
      </c>
      <c r="J25" s="126">
        <f t="shared" si="2"/>
        <v>150</v>
      </c>
    </row>
    <row r="26" ht="18" customHeight="1" spans="1:10">
      <c r="A26" s="117"/>
      <c r="B26" s="114"/>
      <c r="C26" s="114"/>
      <c r="D26" s="115"/>
      <c r="E26" s="116"/>
      <c r="F26" s="134" t="s">
        <v>1364</v>
      </c>
      <c r="G26" s="125">
        <v>1000</v>
      </c>
      <c r="H26" s="125">
        <v>400</v>
      </c>
      <c r="I26" s="99">
        <f t="shared" si="1"/>
        <v>600</v>
      </c>
      <c r="J26" s="126">
        <f t="shared" si="2"/>
        <v>150</v>
      </c>
    </row>
    <row r="27" ht="18" customHeight="1" spans="1:10">
      <c r="A27" s="129" t="s">
        <v>1365</v>
      </c>
      <c r="B27" s="135">
        <f>SUM(B5:B26)</f>
        <v>103000</v>
      </c>
      <c r="C27" s="135">
        <f>SUM(C5:C26)</f>
        <v>103000</v>
      </c>
      <c r="D27" s="115">
        <f>B27-C27</f>
        <v>0</v>
      </c>
      <c r="E27" s="116">
        <f>D27/C27*100</f>
        <v>0</v>
      </c>
      <c r="F27" s="129" t="s">
        <v>1366</v>
      </c>
      <c r="G27" s="135">
        <f>G5+G7+G12+G26</f>
        <v>96256</v>
      </c>
      <c r="H27" s="135">
        <f>H5+H7+H12+H26</f>
        <v>80000</v>
      </c>
      <c r="I27" s="114">
        <f t="shared" si="1"/>
        <v>16256</v>
      </c>
      <c r="J27" s="120">
        <f t="shared" si="2"/>
        <v>20.32</v>
      </c>
    </row>
    <row r="28" ht="18" customHeight="1" spans="1:10">
      <c r="A28" s="117" t="s">
        <v>1367</v>
      </c>
      <c r="B28" s="114">
        <v>2900</v>
      </c>
      <c r="C28" s="114">
        <v>1900</v>
      </c>
      <c r="D28" s="115">
        <f>B28-C28</f>
        <v>1000</v>
      </c>
      <c r="E28" s="116">
        <f>D28/C28*100</f>
        <v>52.6315789473684</v>
      </c>
      <c r="F28" s="117" t="s">
        <v>1368</v>
      </c>
      <c r="G28" s="114"/>
      <c r="H28" s="114"/>
      <c r="I28" s="114"/>
      <c r="J28" s="120"/>
    </row>
    <row r="29" ht="18" customHeight="1" spans="1:10">
      <c r="A29" s="117" t="s">
        <v>1369</v>
      </c>
      <c r="B29" s="114"/>
      <c r="C29" s="114"/>
      <c r="D29" s="115"/>
      <c r="E29" s="116"/>
      <c r="F29" s="117" t="s">
        <v>1370</v>
      </c>
      <c r="G29" s="114"/>
      <c r="H29" s="114"/>
      <c r="I29" s="114"/>
      <c r="J29" s="120"/>
    </row>
    <row r="30" ht="18" customHeight="1" spans="1:10">
      <c r="A30" s="117" t="s">
        <v>1371</v>
      </c>
      <c r="B30" s="114">
        <v>2900</v>
      </c>
      <c r="C30" s="114">
        <v>1900</v>
      </c>
      <c r="D30" s="115">
        <f>B30-C30</f>
        <v>1000</v>
      </c>
      <c r="E30" s="116">
        <f>D30/C30*100</f>
        <v>52.6315789473684</v>
      </c>
      <c r="F30" s="117" t="s">
        <v>1372</v>
      </c>
      <c r="G30" s="114"/>
      <c r="H30" s="114"/>
      <c r="I30" s="114"/>
      <c r="J30" s="120"/>
    </row>
    <row r="31" ht="18" customHeight="1" spans="1:10">
      <c r="A31" s="117" t="s">
        <v>1373</v>
      </c>
      <c r="B31" s="114">
        <v>356</v>
      </c>
      <c r="C31" s="114">
        <v>100</v>
      </c>
      <c r="D31" s="115">
        <f>B31-C31</f>
        <v>256</v>
      </c>
      <c r="E31" s="116">
        <f>D31/C31*100</f>
        <v>256</v>
      </c>
      <c r="F31" s="117" t="s">
        <v>1374</v>
      </c>
      <c r="G31" s="114">
        <v>10000</v>
      </c>
      <c r="H31" s="114">
        <v>25000</v>
      </c>
      <c r="I31" s="114">
        <f>G31-H31</f>
        <v>-15000</v>
      </c>
      <c r="J31" s="120">
        <f>I31/H31*100</f>
        <v>-60</v>
      </c>
    </row>
    <row r="32" ht="18" customHeight="1" spans="1:10">
      <c r="A32" s="117" t="s">
        <v>1375</v>
      </c>
      <c r="B32" s="117"/>
      <c r="C32" s="117"/>
      <c r="D32" s="115"/>
      <c r="E32" s="116"/>
      <c r="F32" s="117" t="s">
        <v>1376</v>
      </c>
      <c r="G32" s="114"/>
      <c r="H32" s="114"/>
      <c r="I32" s="114"/>
      <c r="J32" s="120"/>
    </row>
    <row r="33" ht="18" customHeight="1" spans="1:10">
      <c r="A33" s="136" t="s">
        <v>1377</v>
      </c>
      <c r="B33" s="119">
        <f>B27+B28+B31</f>
        <v>106256</v>
      </c>
      <c r="C33" s="119">
        <f>C27+C28+C31</f>
        <v>105000</v>
      </c>
      <c r="D33" s="115">
        <f>B33-C33</f>
        <v>1256</v>
      </c>
      <c r="E33" s="116">
        <f>D33/C33*100</f>
        <v>1.19619047619048</v>
      </c>
      <c r="F33" s="136" t="s">
        <v>1378</v>
      </c>
      <c r="G33" s="119">
        <f>G27+G28+G31</f>
        <v>106256</v>
      </c>
      <c r="H33" s="119">
        <f>H27+H31</f>
        <v>105000</v>
      </c>
      <c r="I33" s="114">
        <f>G33-H33</f>
        <v>1256</v>
      </c>
      <c r="J33" s="120">
        <f>I33/H33*100</f>
        <v>1.19619047619048</v>
      </c>
    </row>
  </sheetData>
  <mergeCells count="4">
    <mergeCell ref="A1:J1"/>
    <mergeCell ref="I2:J2"/>
    <mergeCell ref="A3:E3"/>
    <mergeCell ref="F3:J3"/>
  </mergeCells>
  <printOptions horizontalCentered="1" verticalCentered="1"/>
  <pageMargins left="0.590277777777778" right="0.354166666666667" top="0.118055555555556" bottom="0.15625" header="0.118055555555556" footer="0"/>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pane xSplit="1" ySplit="4" topLeftCell="B5" activePane="bottomRight" state="frozen"/>
      <selection/>
      <selection pane="topRight"/>
      <selection pane="bottomLeft"/>
      <selection pane="bottomRight" activeCell="A1" sqref="A1:J1"/>
    </sheetView>
  </sheetViews>
  <sheetFormatPr defaultColWidth="9" defaultRowHeight="14.25"/>
  <cols>
    <col min="1" max="1" width="34.375" customWidth="1"/>
    <col min="2" max="2" width="10.625" customWidth="1"/>
    <col min="3" max="3" width="10.5" customWidth="1"/>
    <col min="4" max="4" width="9.375" customWidth="1"/>
    <col min="5" max="5" width="8.625" customWidth="1"/>
    <col min="6" max="6" width="36.875" customWidth="1"/>
    <col min="7" max="7" width="10.75" customWidth="1"/>
    <col min="8" max="9" width="10.375" customWidth="1"/>
    <col min="10" max="10" width="12.625"/>
  </cols>
  <sheetData>
    <row r="1" ht="25.5" spans="1:10">
      <c r="A1" s="83" t="s">
        <v>1379</v>
      </c>
      <c r="B1" s="83"/>
      <c r="C1" s="83"/>
      <c r="D1" s="83"/>
      <c r="E1" s="83"/>
      <c r="F1" s="83"/>
      <c r="G1" s="83"/>
      <c r="H1" s="83"/>
      <c r="I1" s="83"/>
      <c r="J1" s="83"/>
    </row>
    <row r="2" ht="15.75" spans="1:10">
      <c r="A2" s="84"/>
      <c r="B2" s="84"/>
      <c r="C2" s="85"/>
      <c r="D2" s="85"/>
      <c r="E2" s="85"/>
      <c r="F2" s="86"/>
      <c r="G2" s="86"/>
      <c r="H2" s="87" t="s">
        <v>1</v>
      </c>
      <c r="I2" s="87"/>
      <c r="J2" s="87"/>
    </row>
    <row r="3" ht="18.75" spans="1:10">
      <c r="A3" s="88" t="s">
        <v>1320</v>
      </c>
      <c r="B3" s="88"/>
      <c r="C3" s="88"/>
      <c r="D3" s="88"/>
      <c r="E3" s="88"/>
      <c r="F3" s="88" t="s">
        <v>1321</v>
      </c>
      <c r="G3" s="88"/>
      <c r="H3" s="88"/>
      <c r="I3" s="89"/>
      <c r="J3" s="89"/>
    </row>
    <row r="4" ht="39" customHeight="1" spans="1:10">
      <c r="A4" s="90" t="s">
        <v>1322</v>
      </c>
      <c r="B4" s="91" t="s">
        <v>5</v>
      </c>
      <c r="C4" s="91" t="s">
        <v>6</v>
      </c>
      <c r="D4" s="92" t="s">
        <v>1324</v>
      </c>
      <c r="E4" s="92" t="s">
        <v>109</v>
      </c>
      <c r="F4" s="91" t="s">
        <v>1322</v>
      </c>
      <c r="G4" s="91" t="s">
        <v>5</v>
      </c>
      <c r="H4" s="91" t="s">
        <v>6</v>
      </c>
      <c r="I4" s="92" t="s">
        <v>1324</v>
      </c>
      <c r="J4" s="92" t="s">
        <v>109</v>
      </c>
    </row>
    <row r="5" ht="18" customHeight="1" spans="1:10">
      <c r="A5" s="93" t="s">
        <v>1380</v>
      </c>
      <c r="B5" s="94">
        <v>1000</v>
      </c>
      <c r="C5" s="94">
        <v>300</v>
      </c>
      <c r="D5" s="94">
        <f>B5-C5</f>
        <v>700</v>
      </c>
      <c r="E5" s="95">
        <f>D5/C5*100</f>
        <v>233.333333333333</v>
      </c>
      <c r="F5" s="96" t="s">
        <v>1381</v>
      </c>
      <c r="G5" s="97"/>
      <c r="H5" s="98"/>
      <c r="I5" s="99"/>
      <c r="J5" s="99"/>
    </row>
    <row r="6" ht="18" customHeight="1" spans="1:10">
      <c r="A6" s="93" t="s">
        <v>1382</v>
      </c>
      <c r="B6" s="94">
        <v>1000</v>
      </c>
      <c r="C6" s="94"/>
      <c r="D6" s="94">
        <v>1000</v>
      </c>
      <c r="E6" s="94">
        <v>100</v>
      </c>
      <c r="F6" s="93" t="s">
        <v>1383</v>
      </c>
      <c r="G6" s="94">
        <v>1000</v>
      </c>
      <c r="H6" s="94">
        <f>SUM(H7:H11)</f>
        <v>300</v>
      </c>
      <c r="I6" s="99">
        <f>G6-H6</f>
        <v>700</v>
      </c>
      <c r="J6" s="100">
        <f>I6/H6*100</f>
        <v>233.333333333333</v>
      </c>
    </row>
    <row r="7" ht="18" customHeight="1" spans="1:10">
      <c r="A7" s="93" t="s">
        <v>1384</v>
      </c>
      <c r="B7" s="94"/>
      <c r="C7" s="94">
        <v>300</v>
      </c>
      <c r="D7" s="94">
        <f>B7-C7</f>
        <v>-300</v>
      </c>
      <c r="E7" s="94">
        <f>D7/C7*100</f>
        <v>-100</v>
      </c>
      <c r="F7" s="93" t="s">
        <v>1385</v>
      </c>
      <c r="G7" s="94"/>
      <c r="H7" s="94"/>
      <c r="I7" s="99"/>
      <c r="J7" s="100"/>
    </row>
    <row r="8" ht="18" customHeight="1" spans="1:10">
      <c r="A8" s="93" t="s">
        <v>1386</v>
      </c>
      <c r="B8" s="94"/>
      <c r="C8" s="94"/>
      <c r="D8" s="94"/>
      <c r="E8" s="94"/>
      <c r="F8" s="93" t="s">
        <v>1387</v>
      </c>
      <c r="G8" s="94"/>
      <c r="H8" s="94"/>
      <c r="I8" s="99"/>
      <c r="J8" s="100"/>
    </row>
    <row r="9" ht="18" customHeight="1" spans="1:10">
      <c r="A9" s="93" t="s">
        <v>1388</v>
      </c>
      <c r="B9" s="94"/>
      <c r="C9" s="94"/>
      <c r="D9" s="94"/>
      <c r="E9" s="94"/>
      <c r="F9" s="93" t="s">
        <v>1389</v>
      </c>
      <c r="G9" s="94"/>
      <c r="H9" s="94"/>
      <c r="I9" s="99"/>
      <c r="J9" s="100"/>
    </row>
    <row r="10" ht="18" customHeight="1" spans="1:10">
      <c r="A10" s="93"/>
      <c r="B10" s="94"/>
      <c r="C10" s="94"/>
      <c r="D10" s="94"/>
      <c r="E10" s="94"/>
      <c r="F10" s="93" t="s">
        <v>1390</v>
      </c>
      <c r="G10" s="94"/>
      <c r="H10" s="94"/>
      <c r="I10" s="99"/>
      <c r="J10" s="100"/>
    </row>
    <row r="11" ht="18" customHeight="1" spans="1:10">
      <c r="A11" s="93"/>
      <c r="B11" s="94"/>
      <c r="C11" s="94"/>
      <c r="D11" s="94"/>
      <c r="E11" s="94"/>
      <c r="F11" s="93" t="s">
        <v>1391</v>
      </c>
      <c r="G11" s="94">
        <v>1000</v>
      </c>
      <c r="H11" s="94">
        <v>300</v>
      </c>
      <c r="I11" s="99">
        <f>G11-H11</f>
        <v>700</v>
      </c>
      <c r="J11" s="100">
        <f>I11/H11*100</f>
        <v>233.333333333333</v>
      </c>
    </row>
    <row r="12" ht="18" customHeight="1" spans="1:10">
      <c r="A12" s="93"/>
      <c r="B12" s="94"/>
      <c r="C12" s="94"/>
      <c r="D12" s="94"/>
      <c r="E12" s="94"/>
      <c r="F12" s="101"/>
      <c r="G12" s="102"/>
      <c r="H12" s="102"/>
      <c r="I12" s="99"/>
      <c r="J12" s="99"/>
    </row>
    <row r="13" ht="18" customHeight="1" spans="1:10">
      <c r="A13" s="93"/>
      <c r="B13" s="94"/>
      <c r="C13" s="94"/>
      <c r="D13" s="94"/>
      <c r="E13" s="94"/>
      <c r="F13" s="101"/>
      <c r="G13" s="102"/>
      <c r="H13" s="102"/>
      <c r="I13" s="99"/>
      <c r="J13" s="99"/>
    </row>
    <row r="14" ht="18" customHeight="1" spans="1:10">
      <c r="A14" s="103" t="s">
        <v>1392</v>
      </c>
      <c r="B14" s="104">
        <v>1000</v>
      </c>
      <c r="C14" s="104">
        <f>C5</f>
        <v>300</v>
      </c>
      <c r="D14" s="94">
        <f>B14-C14</f>
        <v>700</v>
      </c>
      <c r="E14" s="95">
        <f>D14/C14*100</f>
        <v>233.333333333333</v>
      </c>
      <c r="F14" s="103" t="s">
        <v>1393</v>
      </c>
      <c r="G14" s="104">
        <v>1000</v>
      </c>
      <c r="H14" s="104">
        <v>300</v>
      </c>
      <c r="I14" s="99">
        <v>0</v>
      </c>
      <c r="J14" s="99">
        <f>I14/H14*100</f>
        <v>0</v>
      </c>
    </row>
    <row r="15" ht="18" customHeight="1" spans="1:10">
      <c r="A15" s="93"/>
      <c r="B15" s="104"/>
      <c r="C15" s="94"/>
      <c r="D15" s="94">
        <f>B15-C15</f>
        <v>0</v>
      </c>
      <c r="E15" s="94"/>
      <c r="F15" s="93"/>
      <c r="G15" s="94"/>
      <c r="H15" s="94"/>
      <c r="I15" s="99"/>
      <c r="J15" s="99"/>
    </row>
    <row r="16" ht="18" customHeight="1" spans="1:10">
      <c r="A16" s="93" t="s">
        <v>1367</v>
      </c>
      <c r="B16" s="104"/>
      <c r="C16" s="94"/>
      <c r="D16" s="94">
        <f>B16-C16</f>
        <v>0</v>
      </c>
      <c r="E16" s="94"/>
      <c r="F16" s="93" t="s">
        <v>1368</v>
      </c>
      <c r="G16" s="94"/>
      <c r="H16" s="94"/>
      <c r="I16" s="99"/>
      <c r="J16" s="99"/>
    </row>
    <row r="17" ht="18" customHeight="1" spans="1:10">
      <c r="A17" s="93" t="s">
        <v>1394</v>
      </c>
      <c r="B17" s="104">
        <v>18</v>
      </c>
      <c r="C17" s="94">
        <v>18</v>
      </c>
      <c r="D17" s="94">
        <f>B17-C17</f>
        <v>0</v>
      </c>
      <c r="E17" s="94">
        <f>D17/C17*100</f>
        <v>0</v>
      </c>
      <c r="F17" s="93" t="s">
        <v>1395</v>
      </c>
      <c r="G17" s="94">
        <v>18</v>
      </c>
      <c r="H17" s="94">
        <v>18</v>
      </c>
      <c r="I17" s="99">
        <f>G17-H17</f>
        <v>0</v>
      </c>
      <c r="J17" s="100">
        <f>I17/H17*100</f>
        <v>0</v>
      </c>
    </row>
    <row r="18" ht="18" customHeight="1" spans="1:10">
      <c r="A18" s="93" t="s">
        <v>1396</v>
      </c>
      <c r="B18" s="104"/>
      <c r="C18" s="94"/>
      <c r="D18" s="94"/>
      <c r="E18" s="94"/>
      <c r="F18" s="93" t="s">
        <v>1397</v>
      </c>
      <c r="G18" s="94"/>
      <c r="H18" s="94"/>
      <c r="I18" s="99"/>
      <c r="J18" s="100"/>
    </row>
    <row r="19" ht="18" customHeight="1" spans="1:10">
      <c r="A19" s="93" t="s">
        <v>1398</v>
      </c>
      <c r="B19" s="104"/>
      <c r="C19" s="94"/>
      <c r="D19" s="94"/>
      <c r="E19" s="94"/>
      <c r="F19" s="93" t="s">
        <v>1376</v>
      </c>
      <c r="G19" s="94"/>
      <c r="H19" s="94"/>
      <c r="I19" s="99"/>
      <c r="J19" s="100"/>
    </row>
    <row r="20" ht="18" customHeight="1" spans="1:10">
      <c r="A20" s="105" t="s">
        <v>1377</v>
      </c>
      <c r="B20" s="98">
        <f>B14+B17</f>
        <v>1018</v>
      </c>
      <c r="C20" s="98">
        <f>C14+C17</f>
        <v>318</v>
      </c>
      <c r="D20" s="94">
        <f>B20-C20</f>
        <v>700</v>
      </c>
      <c r="E20" s="95">
        <f>D20/C20*100</f>
        <v>220.125786163522</v>
      </c>
      <c r="F20" s="105" t="s">
        <v>1378</v>
      </c>
      <c r="G20" s="98">
        <f>G14+G17</f>
        <v>1018</v>
      </c>
      <c r="H20" s="98">
        <f>H14+H17</f>
        <v>318</v>
      </c>
      <c r="I20" s="99">
        <f>G20-H20</f>
        <v>700</v>
      </c>
      <c r="J20" s="100">
        <f>I20/H20*100</f>
        <v>220.125786163522</v>
      </c>
    </row>
  </sheetData>
  <mergeCells count="4">
    <mergeCell ref="A1:J1"/>
    <mergeCell ref="H2:J2"/>
    <mergeCell ref="A3:C3"/>
    <mergeCell ref="F3:H3"/>
  </mergeCells>
  <printOptions horizontalCentered="1" verticalCentered="1"/>
  <pageMargins left="0.747916666666667" right="0.629166666666667" top="0.235416666666667" bottom="0.590277777777778" header="0.15625" footer="0.511805555555556"/>
  <pageSetup paperSize="9" scale="79" orientation="landscape"/>
  <headerFooter alignWithMargins="0"/>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12</vt:i4>
      </vt:variant>
    </vt:vector>
  </HeadingPairs>
  <TitlesOfParts>
    <vt:vector size="12" baseType="lpstr">
      <vt:lpstr>一般公共预算收支总表 </vt:lpstr>
      <vt:lpstr>一般公共预算收入表</vt:lpstr>
      <vt:lpstr>一般公共预算支出表</vt:lpstr>
      <vt:lpstr>一般公共预算本级支出预算表-人员经费</vt:lpstr>
      <vt:lpstr>一般公共预算本级支出预算表-公用经费</vt:lpstr>
      <vt:lpstr>一般公共预算本级支出预算表-专项资金</vt:lpstr>
      <vt:lpstr>一般公共预算税收返还和转移支付预算分项目表</vt:lpstr>
      <vt:lpstr>政府性基金预算收支总表</vt:lpstr>
      <vt:lpstr>国有资本经营预算收支总表</vt:lpstr>
      <vt:lpstr>社保基金收支预算总表</vt:lpstr>
      <vt:lpstr>城乡居民基本养老收支预算表</vt:lpstr>
      <vt:lpstr>机关事业单位基本养老收支预算表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番茄花园</dc:creator>
  <cp:lastModifiedBy>WPS_1652411081</cp:lastModifiedBy>
  <dcterms:created xsi:type="dcterms:W3CDTF">2006-11-07T04:13:00Z</dcterms:created>
  <dcterms:modified xsi:type="dcterms:W3CDTF">2026-08-27T03:15:40Z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14</vt:lpwstr>
  </property>
  <property fmtid="{D5CDD505-2E9C-101B-9397-08002B2CF9AE}" pid="3" name="KSOProductBuildVer">
    <vt:lpwstr>2052-12.1.0.28043</vt:lpwstr>
  </property>
  <property fmtid="{D5CDD505-2E9C-101B-9397-08002B2CF9AE}" pid="4" name="ICV">
    <vt:lpwstr>66d2cc2ed8cf4ce1a3e4c3b0cd473044</vt:lpwstr>
  </property>
  <property fmtid="{D5CDD505-2E9C-101B-9397-08002B2CF9AE}" pid="5" name="CalculationRule">
    <vt:i4>0</vt:i4>
  </property>
</Properties>
</file>